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1.xml" ContentType="application/vnd.openxmlformats-officedocument.spreadsheetml.table+xml"/>
  <Override PartName="/xl/drawings/drawing2.xml" ContentType="application/vnd.openxmlformats-officedocument.drawing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harts/chart2.xml" ContentType="application/vnd.openxmlformats-officedocument.drawingml.chart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SD_Anuja\Desktop\"/>
    </mc:Choice>
  </mc:AlternateContent>
  <xr:revisionPtr revIDLastSave="0" documentId="13_ncr:1_{8E7B0AE6-C926-43BB-949C-417FA1D5543D}" xr6:coauthVersionLast="47" xr6:coauthVersionMax="47" xr10:uidLastSave="{00000000-0000-0000-0000-000000000000}"/>
  <bookViews>
    <workbookView xWindow="-108" yWindow="-108" windowWidth="23256" windowHeight="12576" firstSheet="15" activeTab="16" xr2:uid="{00000000-000D-0000-FFFF-FFFF00000000}"/>
  </bookViews>
  <sheets>
    <sheet name="Start Here" sheetId="1" r:id="rId1"/>
    <sheet name="Basic Skills" sheetId="2" r:id="rId2"/>
    <sheet name="Math &amp; Stats" sheetId="3" r:id="rId3"/>
    <sheet name="Logical" sheetId="4" r:id="rId4"/>
    <sheet name="Text" sheetId="5" r:id="rId5"/>
    <sheet name="Date &amp; Time" sheetId="6" r:id="rId6"/>
    <sheet name="Lookup &amp; Ref" sheetId="7" r:id="rId7"/>
    <sheet name="Conditional Calc" sheetId="8" r:id="rId8"/>
    <sheet name="Loan Amortization Schedule" sheetId="16" r:id="rId9"/>
    <sheet name="Loan Amortization Schedule (2)" sheetId="17" r:id="rId10"/>
    <sheet name="Financial" sheetId="9" r:id="rId11"/>
    <sheet name="Loan Amortization Schedule  (3)" sheetId="18" r:id="rId12"/>
    <sheet name="Advanced 365" sheetId="10" r:id="rId13"/>
    <sheet name="Error Guide" sheetId="11" r:id="rId14"/>
    <sheet name="Sheet4" sheetId="19" r:id="rId15"/>
    <sheet name="Sheet5" sheetId="20" r:id="rId16"/>
    <sheet name="Sheet6" sheetId="21" r:id="rId17"/>
    <sheet name="Pivot Source" sheetId="12" r:id="rId18"/>
    <sheet name="Pivot Practice" sheetId="13" r:id="rId19"/>
    <sheet name="Practice Exercises" sheetId="14" r:id="rId20"/>
    <sheet name="Trainer Notes" sheetId="15" r:id="rId21"/>
  </sheets>
  <definedNames>
    <definedName name="Beg_Bal" localSheetId="11">'Loan Amortization Schedule  (3)'!$C$18:$C$497</definedName>
    <definedName name="Beg_Bal" localSheetId="9">'Loan Amortization Schedule (2)'!$C$18:$C$497</definedName>
    <definedName name="Beg_Bal">'Loan Amortization Schedule'!$C$18:$C$497</definedName>
    <definedName name="Cum_Int" localSheetId="11">'Loan Amortization Schedule  (3)'!$J$18:$J$497</definedName>
    <definedName name="Cum_Int" localSheetId="9">'Loan Amortization Schedule (2)'!$J$18:$J$497</definedName>
    <definedName name="Cum_Int">'Loan Amortization Schedule'!$J$18:$J$497</definedName>
    <definedName name="Data" localSheetId="11">'Loan Amortization Schedule  (3)'!$A$18:$J$497</definedName>
    <definedName name="Data" localSheetId="9">'Loan Amortization Schedule (2)'!$A$18:$J$497</definedName>
    <definedName name="Data">'Loan Amortization Schedule'!$A$18:$J$497</definedName>
    <definedName name="End_Bal" localSheetId="11">'Loan Amortization Schedule  (3)'!$I$18:$I$497</definedName>
    <definedName name="End_Bal" localSheetId="9">'Loan Amortization Schedule (2)'!$I$18:$I$497</definedName>
    <definedName name="End_Bal">'Loan Amortization Schedule'!$I$18:$I$497</definedName>
    <definedName name="Extra_Pay" localSheetId="11">'Loan Amortization Schedule  (3)'!$E$18:$E$497</definedName>
    <definedName name="Extra_Pay" localSheetId="9">'Loan Amortization Schedule (2)'!$E$18:$E$497</definedName>
    <definedName name="Extra_Pay">'Loan Amortization Schedule'!$E$18:$E$497</definedName>
    <definedName name="Full_Print" localSheetId="11">'Loan Amortization Schedule  (3)'!$A$1:$J$497</definedName>
    <definedName name="Full_Print" localSheetId="9">'Loan Amortization Schedule (2)'!$A$1:$J$497</definedName>
    <definedName name="Full_Print">'Loan Amortization Schedule'!$A$1:$J$497</definedName>
    <definedName name="Header_Row" localSheetId="11">ROW('Loan Amortization Schedule  (3)'!$17:$17)</definedName>
    <definedName name="Header_Row" localSheetId="9">ROW('Loan Amortization Schedule (2)'!$17:$17)</definedName>
    <definedName name="Header_Row">ROW('Loan Amortization Schedule'!$17:$17)</definedName>
    <definedName name="Int" localSheetId="11">'Loan Amortization Schedule  (3)'!$H$18:$H$497</definedName>
    <definedName name="Int" localSheetId="9">'Loan Amortization Schedule (2)'!$H$18:$H$497</definedName>
    <definedName name="Int">'Loan Amortization Schedule'!$H$18:$H$497</definedName>
    <definedName name="Interest_Rate" localSheetId="11">'Loan Amortization Schedule  (3)'!$D$6</definedName>
    <definedName name="Interest_Rate" localSheetId="9">'Loan Amortization Schedule (2)'!$D$6</definedName>
    <definedName name="Interest_Rate">'Loan Amortization Schedule'!$D$6</definedName>
    <definedName name="Last_Row" localSheetId="11">IF('Loan Amortization Schedule  (3)'!Values_Entered,'Loan Amortization Schedule  (3)'!Header_Row+'Loan Amortization Schedule  (3)'!Number_of_Payments,'Loan Amortization Schedule  (3)'!Header_Row)</definedName>
    <definedName name="Last_Row" localSheetId="9">IF('Loan Amortization Schedule (2)'!Values_Entered,'Loan Amortization Schedule (2)'!Header_Row+'Loan Amortization Schedule (2)'!Number_of_Payments,'Loan Amortization Schedule (2)'!Header_Row)</definedName>
    <definedName name="Last_Row">IF(Values_Entered,Header_Row+Number_of_Payments,Header_Row)</definedName>
    <definedName name="Loan_Amount" localSheetId="11">'Loan Amortization Schedule  (3)'!$D$5</definedName>
    <definedName name="Loan_Amount" localSheetId="9">'Loan Amortization Schedule (2)'!$D$5</definedName>
    <definedName name="Loan_Amount">'Loan Amortization Schedule'!$D$5</definedName>
    <definedName name="Loan_Start" localSheetId="11">'Loan Amortization Schedule  (3)'!$D$9</definedName>
    <definedName name="Loan_Start" localSheetId="9">'Loan Amortization Schedule (2)'!$D$9</definedName>
    <definedName name="Loan_Start">'Loan Amortization Schedule'!$D$9</definedName>
    <definedName name="Loan_Years" localSheetId="11">'Loan Amortization Schedule  (3)'!$D$7</definedName>
    <definedName name="Loan_Years" localSheetId="9">'Loan Amortization Schedule (2)'!$D$7</definedName>
    <definedName name="Loan_Years">'Loan Amortization Schedule'!$D$7</definedName>
    <definedName name="Num_Pmt_Per_Year" localSheetId="11">'Loan Amortization Schedule  (3)'!$D$8</definedName>
    <definedName name="Num_Pmt_Per_Year" localSheetId="9">'Loan Amortization Schedule (2)'!$D$8</definedName>
    <definedName name="Num_Pmt_Per_Year">'Loan Amortization Schedule'!$D$8</definedName>
    <definedName name="Number_of_Payments" localSheetId="11">MATCH(0.01,'Loan Amortization Schedule  (3)'!End_Bal,-1)+1</definedName>
    <definedName name="Number_of_Payments" localSheetId="9">MATCH(0.01,'Loan Amortization Schedule (2)'!End_Bal,-1)+1</definedName>
    <definedName name="Number_of_Payments">MATCH(0.01,End_Bal,-1)+1</definedName>
    <definedName name="Pay_Date" localSheetId="11">'Loan Amortization Schedule  (3)'!$B$18:$B$497</definedName>
    <definedName name="Pay_Date" localSheetId="9">'Loan Amortization Schedule (2)'!$B$18:$B$497</definedName>
    <definedName name="Pay_Date">'Loan Amortization Schedule'!$B$18:$B$497</definedName>
    <definedName name="Pay_Num" localSheetId="11">'Loan Amortization Schedule  (3)'!$A$18:$A$497</definedName>
    <definedName name="Pay_Num" localSheetId="9">'Loan Amortization Schedule (2)'!$A$18:$A$497</definedName>
    <definedName name="Pay_Num">'Loan Amortization Schedule'!$A$18:$A$497</definedName>
    <definedName name="Payment_Date" localSheetId="11">DATE(YEAR('Loan Amortization Schedule  (3)'!Loan_Start),MONTH('Loan Amortization Schedule  (3)'!Loan_Start)+Payment_Number,DAY('Loan Amortization Schedule  (3)'!Loan_Start))</definedName>
    <definedName name="Payment_Date" localSheetId="9">DATE(YEAR('Loan Amortization Schedule (2)'!Loan_Start),MONTH('Loan Amortization Schedule (2)'!Loan_Start)+Payment_Number,DAY('Loan Amortization Schedule (2)'!Loan_Start))</definedName>
    <definedName name="Payment_Date">DATE(YEAR(Loan_Start),MONTH(Loan_Start)+Payment_Number,DAY(Loan_Start))</definedName>
    <definedName name="PivotSourceRange">'Pivot Source'!$A$4:$J$40</definedName>
    <definedName name="Princ" localSheetId="11">'Loan Amortization Schedule  (3)'!$G$18:$G$497</definedName>
    <definedName name="Princ" localSheetId="9">'Loan Amortization Schedule (2)'!$G$18:$G$497</definedName>
    <definedName name="Princ">'Loan Amortization Schedule'!$G$18:$G$497</definedName>
    <definedName name="_xlnm.Print_Area" localSheetId="8">OFFSET(Full_Print,0,0,Last_Row)</definedName>
    <definedName name="_xlnm.Print_Area" localSheetId="11">OFFSET('Loan Amortization Schedule  (3)'!Full_Print,0,0,'Loan Amortization Schedule  (3)'!Last_Row)</definedName>
    <definedName name="_xlnm.Print_Area" localSheetId="9">OFFSET('Loan Amortization Schedule (2)'!Full_Print,0,0,'Loan Amortization Schedule (2)'!Last_Row)</definedName>
    <definedName name="Print_Area_Reset" localSheetId="11">OFFSET('Loan Amortization Schedule  (3)'!Full_Print,0,0,'Loan Amortization Schedule  (3)'!Last_Row)</definedName>
    <definedName name="Print_Area_Reset" localSheetId="9">OFFSET('Loan Amortization Schedule (2)'!Full_Print,0,0,'Loan Amortization Schedule (2)'!Last_Row)</definedName>
    <definedName name="Print_Area_Reset">OFFSET(Full_Print,0,0,Last_Row)</definedName>
    <definedName name="_xlnm.Print_Titles" localSheetId="8">'Loan Amortization Schedule'!$14:$17</definedName>
    <definedName name="_xlnm.Print_Titles" localSheetId="11">'Loan Amortization Schedule  (3)'!$14:$17</definedName>
    <definedName name="_xlnm.Print_Titles" localSheetId="9">'Loan Amortization Schedule (2)'!$14:$17</definedName>
    <definedName name="Sched_Pay" localSheetId="11">'Loan Amortization Schedule  (3)'!$D$18:$D$497</definedName>
    <definedName name="Sched_Pay" localSheetId="9">'Loan Amortization Schedule (2)'!$D$18:$D$497</definedName>
    <definedName name="Sched_Pay">'Loan Amortization Schedule'!$D$18:$D$497</definedName>
    <definedName name="Scheduled_Extra_Payments" localSheetId="11">'Loan Amortization Schedule  (3)'!$D$10</definedName>
    <definedName name="Scheduled_Extra_Payments" localSheetId="9">'Loan Amortization Schedule (2)'!$D$10</definedName>
    <definedName name="Scheduled_Extra_Payments">'Loan Amortization Schedule'!$D$10</definedName>
    <definedName name="Scheduled_Interest_Rate" localSheetId="11">'Loan Amortization Schedule  (3)'!$D$6</definedName>
    <definedName name="Scheduled_Interest_Rate" localSheetId="9">'Loan Amortization Schedule (2)'!$D$6</definedName>
    <definedName name="Scheduled_Interest_Rate">'Loan Amortization Schedule'!$D$6</definedName>
    <definedName name="Scheduled_Monthly_Payment" localSheetId="11">'Loan Amortization Schedule  (3)'!$J$5</definedName>
    <definedName name="Scheduled_Monthly_Payment" localSheetId="9">'Loan Amortization Schedule (2)'!$J$5</definedName>
    <definedName name="Scheduled_Monthly_Payment">'Loan Amortization Schedule'!$J$5</definedName>
    <definedName name="Total_Interest" localSheetId="11">'Loan Amortization Schedule  (3)'!$J$9</definedName>
    <definedName name="Total_Interest" localSheetId="9">'Loan Amortization Schedule (2)'!$J$9</definedName>
    <definedName name="Total_Interest">'Loan Amortization Schedule'!$J$9</definedName>
    <definedName name="Total_Pay" localSheetId="11">'Loan Amortization Schedule  (3)'!$F$18:$F$497</definedName>
    <definedName name="Total_Pay" localSheetId="9">'Loan Amortization Schedule (2)'!$F$18:$F$497</definedName>
    <definedName name="Total_Pay">'Loan Amortization Schedule'!$F$18:$F$497</definedName>
    <definedName name="Values_Entered" localSheetId="11">IF('Loan Amortization Schedule  (3)'!Loan_Amount*'Loan Amortization Schedule  (3)'!Interest_Rate*'Loan Amortization Schedule  (3)'!Loan_Years*'Loan Amortization Schedule  (3)'!Loan_Start&gt;0,1,0)</definedName>
    <definedName name="Values_Entered" localSheetId="9">IF('Loan Amortization Schedule (2)'!Loan_Amount*'Loan Amortization Schedule (2)'!Interest_Rate*'Loan Amortization Schedule (2)'!Loan_Years*'Loan Amortization Schedule (2)'!Loan_Start&gt;0,1,0)</definedName>
    <definedName name="Values_Entered">IF(Loan_Amount*Interest_Rate*Loan_Years*Loan_Start&gt;0,1,0)</definedName>
  </definedNames>
  <calcPr calcId="191029"/>
  <pivotCaches>
    <pivotCache cacheId="5" r:id="rId22"/>
    <pivotCache cacheId="13" r:id="rId2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4" i="21"/>
  <c r="C2" i="21"/>
  <c r="E5" i="10" a="1"/>
  <c r="J5" i="18"/>
  <c r="J6" i="18"/>
  <c r="A18" i="18"/>
  <c r="B18" i="18"/>
  <c r="C18" i="18"/>
  <c r="D18" i="18"/>
  <c r="E18" i="18"/>
  <c r="F18" i="18"/>
  <c r="H18" i="18"/>
  <c r="J18" i="18"/>
  <c r="A19" i="18"/>
  <c r="B19" i="18"/>
  <c r="D19" i="18"/>
  <c r="A20" i="18"/>
  <c r="B20" i="18"/>
  <c r="D20" i="18"/>
  <c r="A21" i="18"/>
  <c r="B21" i="18"/>
  <c r="D21" i="18"/>
  <c r="A22" i="18"/>
  <c r="B22" i="18"/>
  <c r="D22" i="18"/>
  <c r="A23" i="18"/>
  <c r="B23" i="18"/>
  <c r="D23" i="18"/>
  <c r="A24" i="18"/>
  <c r="B24" i="18"/>
  <c r="D24" i="18"/>
  <c r="A25" i="18"/>
  <c r="B25" i="18"/>
  <c r="D25" i="18"/>
  <c r="A26" i="18"/>
  <c r="B26" i="18"/>
  <c r="D26" i="18"/>
  <c r="A27" i="18"/>
  <c r="B27" i="18"/>
  <c r="D27" i="18"/>
  <c r="A28" i="18"/>
  <c r="B28" i="18"/>
  <c r="D28" i="18"/>
  <c r="A29" i="18"/>
  <c r="B29" i="18"/>
  <c r="D29" i="18"/>
  <c r="A30" i="18"/>
  <c r="B30" i="18"/>
  <c r="D30" i="18"/>
  <c r="A31" i="18"/>
  <c r="B31" i="18"/>
  <c r="D31" i="18"/>
  <c r="A32" i="18"/>
  <c r="B32" i="18"/>
  <c r="D32" i="18"/>
  <c r="A33" i="18"/>
  <c r="B33" i="18"/>
  <c r="D33" i="18"/>
  <c r="A34" i="18"/>
  <c r="B34" i="18"/>
  <c r="D34" i="18"/>
  <c r="A35" i="18"/>
  <c r="B35" i="18"/>
  <c r="D35" i="18"/>
  <c r="A36" i="18"/>
  <c r="B36" i="18"/>
  <c r="D36" i="18"/>
  <c r="A37" i="18"/>
  <c r="B37" i="18"/>
  <c r="D37" i="18"/>
  <c r="A38" i="18"/>
  <c r="B38" i="18"/>
  <c r="D38" i="18"/>
  <c r="A39" i="18"/>
  <c r="B39" i="18"/>
  <c r="D39" i="18"/>
  <c r="A40" i="18"/>
  <c r="B40" i="18"/>
  <c r="D40" i="18"/>
  <c r="A41" i="18"/>
  <c r="B41" i="18"/>
  <c r="D41" i="18"/>
  <c r="A42" i="18"/>
  <c r="B42" i="18"/>
  <c r="D42" i="18"/>
  <c r="A43" i="18"/>
  <c r="B43" i="18"/>
  <c r="D43" i="18"/>
  <c r="A44" i="18"/>
  <c r="B44" i="18"/>
  <c r="D44" i="18"/>
  <c r="A45" i="18"/>
  <c r="B45" i="18"/>
  <c r="D45" i="18"/>
  <c r="A46" i="18"/>
  <c r="B46" i="18"/>
  <c r="D46" i="18"/>
  <c r="A47" i="18"/>
  <c r="B47" i="18"/>
  <c r="D47" i="18"/>
  <c r="A48" i="18"/>
  <c r="B48" i="18"/>
  <c r="D48" i="18"/>
  <c r="A49" i="18"/>
  <c r="B49" i="18"/>
  <c r="D49" i="18"/>
  <c r="A50" i="18"/>
  <c r="J5" i="17"/>
  <c r="J6" i="17"/>
  <c r="A18" i="17"/>
  <c r="C18" i="17"/>
  <c r="H18" i="17"/>
  <c r="A19" i="17"/>
  <c r="A20" i="17"/>
  <c r="A21" i="17"/>
  <c r="A22" i="17"/>
  <c r="J5" i="16"/>
  <c r="J6" i="16"/>
  <c r="A18" i="16"/>
  <c r="C18" i="16"/>
  <c r="A19" i="16"/>
  <c r="G5" i="8"/>
  <c r="F5" i="8"/>
  <c r="F5" i="7"/>
  <c r="J5" i="6"/>
  <c r="H5" i="6"/>
  <c r="F5" i="5"/>
  <c r="G19" i="4"/>
  <c r="G5" i="4"/>
  <c r="F4" i="3"/>
  <c r="F5" i="3"/>
  <c r="G24" i="10" a="1"/>
  <c r="G20" i="10" a="1"/>
  <c r="G19" i="10"/>
  <c r="G18" i="10"/>
  <c r="N12" i="10" a="1"/>
  <c r="G17" i="10" a="1"/>
  <c r="G16" i="10" a="1"/>
  <c r="G15" i="10" a="1"/>
  <c r="G14" i="10" a="1"/>
  <c r="F12" i="11" a="1"/>
  <c r="G20" i="7" a="1"/>
  <c r="G18" i="7"/>
  <c r="G14" i="7"/>
  <c r="B29" i="15"/>
  <c r="B27" i="15"/>
  <c r="B26" i="15"/>
  <c r="B25" i="15"/>
  <c r="B24" i="15"/>
  <c r="B23" i="15"/>
  <c r="B22" i="15"/>
  <c r="F11" i="11"/>
  <c r="F10" i="11"/>
  <c r="F9" i="11"/>
  <c r="F8" i="11"/>
  <c r="F7" i="11"/>
  <c r="F6" i="11"/>
  <c r="F5" i="11"/>
  <c r="F4" i="11"/>
  <c r="G23" i="10"/>
  <c r="G16" i="9"/>
  <c r="G15" i="9"/>
  <c r="G14" i="9"/>
  <c r="G13" i="9"/>
  <c r="G12" i="9"/>
  <c r="G17" i="8"/>
  <c r="G16" i="8"/>
  <c r="G15" i="8"/>
  <c r="G14" i="8"/>
  <c r="G13" i="8"/>
  <c r="G12" i="8"/>
  <c r="G19" i="7"/>
  <c r="G17" i="7"/>
  <c r="G16" i="7"/>
  <c r="G15" i="7"/>
  <c r="G13" i="7"/>
  <c r="G12" i="7"/>
  <c r="G22" i="6"/>
  <c r="G21" i="6"/>
  <c r="G20" i="6"/>
  <c r="G19" i="6"/>
  <c r="G18" i="6"/>
  <c r="G17" i="6"/>
  <c r="G16" i="6"/>
  <c r="G15" i="6"/>
  <c r="G14" i="6"/>
  <c r="G13" i="6"/>
  <c r="G12" i="6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20" i="4"/>
  <c r="G18" i="4"/>
  <c r="G17" i="4"/>
  <c r="G16" i="4"/>
  <c r="G15" i="4"/>
  <c r="G14" i="4"/>
  <c r="G13" i="4"/>
  <c r="G12" i="4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F15" i="2"/>
  <c r="F14" i="2"/>
  <c r="F13" i="2"/>
  <c r="G18" i="18" l="1"/>
  <c r="I18" i="18" s="1"/>
  <c r="A51" i="18"/>
  <c r="B50" i="18"/>
  <c r="D50" i="18"/>
  <c r="D22" i="17"/>
  <c r="B19" i="17"/>
  <c r="B20" i="17"/>
  <c r="D21" i="17"/>
  <c r="A23" i="17"/>
  <c r="A20" i="16"/>
  <c r="A21" i="16" s="1"/>
  <c r="D20" i="17"/>
  <c r="B18" i="17"/>
  <c r="D18" i="17"/>
  <c r="E18" i="17"/>
  <c r="J18" i="17"/>
  <c r="D19" i="17"/>
  <c r="B23" i="17"/>
  <c r="A24" i="17"/>
  <c r="F18" i="17"/>
  <c r="B21" i="17"/>
  <c r="B22" i="17"/>
  <c r="D23" i="17"/>
  <c r="D18" i="16"/>
  <c r="H18" i="16"/>
  <c r="J18" i="16" s="1"/>
  <c r="B19" i="16"/>
  <c r="D19" i="16"/>
  <c r="D21" i="16"/>
  <c r="D20" i="16"/>
  <c r="A22" i="16"/>
  <c r="B18" i="16"/>
  <c r="B21" i="16"/>
  <c r="B20" i="16"/>
  <c r="H7" i="6"/>
  <c r="H6" i="6"/>
  <c r="G5" i="3"/>
  <c r="C19" i="18" l="1"/>
  <c r="A52" i="18"/>
  <c r="D51" i="18"/>
  <c r="B51" i="18"/>
  <c r="A25" i="17"/>
  <c r="D24" i="17"/>
  <c r="B24" i="17"/>
  <c r="G18" i="17"/>
  <c r="I18" i="17" s="1"/>
  <c r="C19" i="17"/>
  <c r="D22" i="16"/>
  <c r="A23" i="16"/>
  <c r="E18" i="16"/>
  <c r="B22" i="16"/>
  <c r="H19" i="18" l="1"/>
  <c r="E19" i="18"/>
  <c r="A53" i="18"/>
  <c r="D52" i="18"/>
  <c r="B52" i="18"/>
  <c r="A26" i="17"/>
  <c r="D25" i="17"/>
  <c r="B25" i="17"/>
  <c r="H19" i="17"/>
  <c r="E19" i="17"/>
  <c r="B23" i="16"/>
  <c r="D23" i="16"/>
  <c r="A24" i="16"/>
  <c r="F18" i="16"/>
  <c r="G18" i="16" s="1"/>
  <c r="I18" i="16"/>
  <c r="C19" i="16" s="1"/>
  <c r="E19" i="16"/>
  <c r="H19" i="16"/>
  <c r="J19" i="18" l="1"/>
  <c r="F19" i="18"/>
  <c r="G19" i="18" s="1"/>
  <c r="A54" i="18"/>
  <c r="D53" i="18"/>
  <c r="B53" i="18"/>
  <c r="A27" i="17"/>
  <c r="D26" i="17"/>
  <c r="B26" i="17"/>
  <c r="J19" i="17"/>
  <c r="F19" i="17"/>
  <c r="G19" i="17" s="1"/>
  <c r="B24" i="16"/>
  <c r="D24" i="16"/>
  <c r="A25" i="16"/>
  <c r="F19" i="16"/>
  <c r="G19" i="16" s="1"/>
  <c r="J19" i="16"/>
  <c r="A55" i="18" l="1"/>
  <c r="D54" i="18"/>
  <c r="B54" i="18"/>
  <c r="I19" i="18"/>
  <c r="A28" i="17"/>
  <c r="D27" i="17"/>
  <c r="B27" i="17"/>
  <c r="I19" i="17"/>
  <c r="B25" i="16"/>
  <c r="D25" i="16"/>
  <c r="A26" i="16"/>
  <c r="I19" i="16"/>
  <c r="A56" i="18" l="1"/>
  <c r="D55" i="18"/>
  <c r="B55" i="18"/>
  <c r="C20" i="18"/>
  <c r="A29" i="17"/>
  <c r="B28" i="17"/>
  <c r="D28" i="17"/>
  <c r="C20" i="17"/>
  <c r="D26" i="16"/>
  <c r="B26" i="16"/>
  <c r="A27" i="16"/>
  <c r="C20" i="16"/>
  <c r="A57" i="18" l="1"/>
  <c r="D56" i="18"/>
  <c r="B56" i="18"/>
  <c r="H20" i="18"/>
  <c r="E20" i="18"/>
  <c r="B29" i="17"/>
  <c r="D29" i="17"/>
  <c r="A30" i="17"/>
  <c r="H20" i="17"/>
  <c r="E20" i="17"/>
  <c r="D27" i="16"/>
  <c r="B27" i="16"/>
  <c r="A28" i="16"/>
  <c r="E20" i="16"/>
  <c r="H20" i="16"/>
  <c r="A58" i="18" l="1"/>
  <c r="D57" i="18"/>
  <c r="B57" i="18"/>
  <c r="J20" i="18"/>
  <c r="F20" i="18"/>
  <c r="G20" i="18" s="1"/>
  <c r="D30" i="17"/>
  <c r="B30" i="17"/>
  <c r="A31" i="17"/>
  <c r="J20" i="17"/>
  <c r="F20" i="17"/>
  <c r="G20" i="17" s="1"/>
  <c r="D28" i="16"/>
  <c r="A29" i="16"/>
  <c r="B28" i="16"/>
  <c r="F20" i="16"/>
  <c r="G20" i="16" s="1"/>
  <c r="J20" i="16"/>
  <c r="A59" i="18" l="1"/>
  <c r="D58" i="18"/>
  <c r="B58" i="18"/>
  <c r="I20" i="18"/>
  <c r="D31" i="17"/>
  <c r="A32" i="17"/>
  <c r="B31" i="17"/>
  <c r="I20" i="17"/>
  <c r="B29" i="16"/>
  <c r="D29" i="16"/>
  <c r="A30" i="16"/>
  <c r="I20" i="16"/>
  <c r="D59" i="18" l="1"/>
  <c r="B59" i="18"/>
  <c r="A60" i="18"/>
  <c r="C21" i="18"/>
  <c r="A33" i="17"/>
  <c r="D32" i="17"/>
  <c r="B32" i="17"/>
  <c r="C21" i="17"/>
  <c r="B30" i="16"/>
  <c r="D30" i="16"/>
  <c r="A31" i="16"/>
  <c r="C21" i="16"/>
  <c r="E21" i="16"/>
  <c r="H21" i="16"/>
  <c r="A61" i="18" l="1"/>
  <c r="D60" i="18"/>
  <c r="B60" i="18"/>
  <c r="H21" i="18"/>
  <c r="E21" i="18"/>
  <c r="A34" i="17"/>
  <c r="D33" i="17"/>
  <c r="B33" i="17"/>
  <c r="H21" i="17"/>
  <c r="E21" i="17"/>
  <c r="D31" i="16"/>
  <c r="B31" i="16"/>
  <c r="A32" i="16"/>
  <c r="F21" i="16"/>
  <c r="G21" i="16" s="1"/>
  <c r="J21" i="16"/>
  <c r="A62" i="18" l="1"/>
  <c r="D61" i="18"/>
  <c r="B61" i="18"/>
  <c r="J21" i="18"/>
  <c r="F21" i="18"/>
  <c r="G21" i="18" s="1"/>
  <c r="A35" i="17"/>
  <c r="D34" i="17"/>
  <c r="B34" i="17"/>
  <c r="J21" i="17"/>
  <c r="F21" i="17"/>
  <c r="G21" i="17" s="1"/>
  <c r="D32" i="16"/>
  <c r="B32" i="16"/>
  <c r="A33" i="16"/>
  <c r="I21" i="16"/>
  <c r="A63" i="18" l="1"/>
  <c r="D62" i="18"/>
  <c r="B62" i="18"/>
  <c r="I21" i="18"/>
  <c r="A36" i="17"/>
  <c r="D35" i="17"/>
  <c r="B35" i="17"/>
  <c r="I21" i="17"/>
  <c r="B33" i="16"/>
  <c r="D33" i="16"/>
  <c r="A34" i="16"/>
  <c r="C22" i="16"/>
  <c r="H22" i="16"/>
  <c r="E22" i="16"/>
  <c r="A64" i="18" l="1"/>
  <c r="D63" i="18"/>
  <c r="B63" i="18"/>
  <c r="C22" i="18"/>
  <c r="A37" i="17"/>
  <c r="D36" i="17"/>
  <c r="B36" i="17"/>
  <c r="C22" i="17"/>
  <c r="D34" i="16"/>
  <c r="B34" i="16"/>
  <c r="A35" i="16"/>
  <c r="J22" i="16"/>
  <c r="F22" i="16"/>
  <c r="G22" i="16" s="1"/>
  <c r="A65" i="18" l="1"/>
  <c r="D64" i="18"/>
  <c r="B64" i="18"/>
  <c r="H22" i="18"/>
  <c r="E22" i="18"/>
  <c r="I22" i="16"/>
  <c r="C23" i="16" s="1"/>
  <c r="A38" i="17"/>
  <c r="D37" i="17"/>
  <c r="B37" i="17"/>
  <c r="H22" i="17"/>
  <c r="E22" i="17"/>
  <c r="B35" i="16"/>
  <c r="D35" i="16"/>
  <c r="A36" i="16"/>
  <c r="A66" i="18" l="1"/>
  <c r="D65" i="18"/>
  <c r="B65" i="18"/>
  <c r="J22" i="18"/>
  <c r="F22" i="18"/>
  <c r="G22" i="18" s="1"/>
  <c r="H23" i="16"/>
  <c r="E23" i="16"/>
  <c r="A39" i="17"/>
  <c r="D38" i="17"/>
  <c r="B38" i="17"/>
  <c r="J22" i="17"/>
  <c r="F22" i="17"/>
  <c r="G22" i="17" s="1"/>
  <c r="D36" i="16"/>
  <c r="B36" i="16"/>
  <c r="A37" i="16"/>
  <c r="A67" i="18" l="1"/>
  <c r="D66" i="18"/>
  <c r="B66" i="18"/>
  <c r="I22" i="18"/>
  <c r="C23" i="18" s="1"/>
  <c r="F23" i="16"/>
  <c r="G23" i="16" s="1"/>
  <c r="I23" i="16"/>
  <c r="C24" i="16" s="1"/>
  <c r="J23" i="16"/>
  <c r="A40" i="17"/>
  <c r="D39" i="17"/>
  <c r="B39" i="17"/>
  <c r="I22" i="17"/>
  <c r="C23" i="17" s="1"/>
  <c r="B37" i="16"/>
  <c r="D37" i="16"/>
  <c r="A38" i="16"/>
  <c r="A68" i="18" l="1"/>
  <c r="D67" i="18"/>
  <c r="B67" i="18"/>
  <c r="E23" i="18"/>
  <c r="H23" i="18"/>
  <c r="E24" i="16"/>
  <c r="H24" i="16"/>
  <c r="A41" i="17"/>
  <c r="D40" i="17"/>
  <c r="B40" i="17"/>
  <c r="E23" i="17"/>
  <c r="H23" i="17"/>
  <c r="D38" i="16"/>
  <c r="B38" i="16"/>
  <c r="A39" i="16"/>
  <c r="A69" i="18" l="1"/>
  <c r="D68" i="18"/>
  <c r="B68" i="18"/>
  <c r="F23" i="18"/>
  <c r="G23" i="18" s="1"/>
  <c r="J23" i="18"/>
  <c r="F24" i="16"/>
  <c r="G24" i="16" s="1"/>
  <c r="J24" i="16"/>
  <c r="A42" i="17"/>
  <c r="D41" i="17"/>
  <c r="B41" i="17"/>
  <c r="F23" i="17"/>
  <c r="G23" i="17" s="1"/>
  <c r="J23" i="17"/>
  <c r="D39" i="16"/>
  <c r="B39" i="16"/>
  <c r="A40" i="16"/>
  <c r="I24" i="16"/>
  <c r="C25" i="16" s="1"/>
  <c r="A70" i="18" l="1"/>
  <c r="D69" i="18"/>
  <c r="B69" i="18"/>
  <c r="I23" i="18"/>
  <c r="C24" i="18" s="1"/>
  <c r="A43" i="17"/>
  <c r="D42" i="17"/>
  <c r="B42" i="17"/>
  <c r="I23" i="17"/>
  <c r="C24" i="17" s="1"/>
  <c r="D40" i="16"/>
  <c r="B40" i="16"/>
  <c r="A41" i="16"/>
  <c r="H25" i="16"/>
  <c r="E25" i="16"/>
  <c r="A71" i="18" l="1"/>
  <c r="D70" i="18"/>
  <c r="B70" i="18"/>
  <c r="E24" i="18"/>
  <c r="H24" i="18"/>
  <c r="A44" i="17"/>
  <c r="D43" i="17"/>
  <c r="B43" i="17"/>
  <c r="E24" i="17"/>
  <c r="H24" i="17"/>
  <c r="B41" i="16"/>
  <c r="A42" i="16"/>
  <c r="D41" i="16"/>
  <c r="J25" i="16"/>
  <c r="F25" i="16"/>
  <c r="G25" i="16" s="1"/>
  <c r="A72" i="18" l="1"/>
  <c r="D71" i="18"/>
  <c r="B71" i="18"/>
  <c r="I24" i="18"/>
  <c r="C25" i="18" s="1"/>
  <c r="F24" i="18"/>
  <c r="G24" i="18" s="1"/>
  <c r="J24" i="18"/>
  <c r="D44" i="17"/>
  <c r="A45" i="17"/>
  <c r="B44" i="17"/>
  <c r="F24" i="17"/>
  <c r="G24" i="17" s="1"/>
  <c r="J24" i="17"/>
  <c r="B42" i="16"/>
  <c r="A43" i="16"/>
  <c r="D42" i="16"/>
  <c r="I25" i="16"/>
  <c r="C26" i="16" s="1"/>
  <c r="A73" i="18" l="1"/>
  <c r="D72" i="18"/>
  <c r="B72" i="18"/>
  <c r="H25" i="18"/>
  <c r="E25" i="18"/>
  <c r="A46" i="17"/>
  <c r="D45" i="17"/>
  <c r="B45" i="17"/>
  <c r="I24" i="17"/>
  <c r="C25" i="17" s="1"/>
  <c r="D43" i="16"/>
  <c r="B43" i="16"/>
  <c r="A44" i="16"/>
  <c r="H26" i="16"/>
  <c r="E26" i="16"/>
  <c r="A74" i="18" l="1"/>
  <c r="D73" i="18"/>
  <c r="B73" i="18"/>
  <c r="J25" i="18"/>
  <c r="F25" i="18"/>
  <c r="G25" i="18" s="1"/>
  <c r="D46" i="17"/>
  <c r="B46" i="17"/>
  <c r="A47" i="17"/>
  <c r="H25" i="17"/>
  <c r="E25" i="17"/>
  <c r="D44" i="16"/>
  <c r="B44" i="16"/>
  <c r="A45" i="16"/>
  <c r="J26" i="16"/>
  <c r="F26" i="16"/>
  <c r="G26" i="16" s="1"/>
  <c r="A75" i="18" l="1"/>
  <c r="D74" i="18"/>
  <c r="B74" i="18"/>
  <c r="I25" i="18"/>
  <c r="C26" i="18" s="1"/>
  <c r="A48" i="17"/>
  <c r="D47" i="17"/>
  <c r="B47" i="17"/>
  <c r="J25" i="17"/>
  <c r="F25" i="17"/>
  <c r="G25" i="17" s="1"/>
  <c r="D45" i="16"/>
  <c r="A46" i="16"/>
  <c r="B45" i="16"/>
  <c r="I26" i="16"/>
  <c r="C27" i="16" s="1"/>
  <c r="A76" i="18" l="1"/>
  <c r="D75" i="18"/>
  <c r="B75" i="18"/>
  <c r="E26" i="18"/>
  <c r="H26" i="18"/>
  <c r="D48" i="17"/>
  <c r="B48" i="17"/>
  <c r="A49" i="17"/>
  <c r="I25" i="17"/>
  <c r="C26" i="17" s="1"/>
  <c r="B46" i="16"/>
  <c r="D46" i="16"/>
  <c r="A47" i="16"/>
  <c r="H27" i="16"/>
  <c r="E27" i="16"/>
  <c r="A77" i="18" l="1"/>
  <c r="D76" i="18"/>
  <c r="B76" i="18"/>
  <c r="F26" i="18"/>
  <c r="G26" i="18" s="1"/>
  <c r="J26" i="18"/>
  <c r="D49" i="17"/>
  <c r="B49" i="17"/>
  <c r="A50" i="17"/>
  <c r="E26" i="17"/>
  <c r="H26" i="17"/>
  <c r="B47" i="16"/>
  <c r="D47" i="16"/>
  <c r="A48" i="16"/>
  <c r="J27" i="16"/>
  <c r="F27" i="16"/>
  <c r="G27" i="16" s="1"/>
  <c r="A78" i="18" l="1"/>
  <c r="D77" i="18"/>
  <c r="B77" i="18"/>
  <c r="I26" i="18"/>
  <c r="C27" i="18" s="1"/>
  <c r="F26" i="17"/>
  <c r="G26" i="17" s="1"/>
  <c r="J26" i="17"/>
  <c r="D50" i="17"/>
  <c r="A51" i="17"/>
  <c r="B50" i="17"/>
  <c r="B48" i="16"/>
  <c r="D48" i="16"/>
  <c r="A49" i="16"/>
  <c r="I27" i="16"/>
  <c r="C28" i="16" s="1"/>
  <c r="A79" i="18" l="1"/>
  <c r="D78" i="18"/>
  <c r="B78" i="18"/>
  <c r="E27" i="18"/>
  <c r="H27" i="18"/>
  <c r="I26" i="17"/>
  <c r="C27" i="17" s="1"/>
  <c r="B51" i="17"/>
  <c r="D51" i="17"/>
  <c r="A52" i="17"/>
  <c r="E27" i="17"/>
  <c r="H27" i="17"/>
  <c r="D49" i="16"/>
  <c r="A50" i="16"/>
  <c r="B49" i="16"/>
  <c r="E28" i="16"/>
  <c r="H28" i="16"/>
  <c r="D79" i="18" l="1"/>
  <c r="A80" i="18"/>
  <c r="B79" i="18"/>
  <c r="I27" i="18"/>
  <c r="C28" i="18" s="1"/>
  <c r="F27" i="18"/>
  <c r="G27" i="18" s="1"/>
  <c r="J27" i="18"/>
  <c r="B52" i="17"/>
  <c r="A53" i="17"/>
  <c r="D52" i="17"/>
  <c r="F27" i="17"/>
  <c r="G27" i="17" s="1"/>
  <c r="J27" i="17"/>
  <c r="B50" i="16"/>
  <c r="D50" i="16"/>
  <c r="A51" i="16"/>
  <c r="F28" i="16"/>
  <c r="G28" i="16" s="1"/>
  <c r="J28" i="16"/>
  <c r="A81" i="18" l="1"/>
  <c r="D80" i="18"/>
  <c r="B80" i="18"/>
  <c r="H28" i="18"/>
  <c r="E28" i="18"/>
  <c r="A54" i="17"/>
  <c r="D53" i="17"/>
  <c r="B53" i="17"/>
  <c r="I27" i="17"/>
  <c r="C28" i="17" s="1"/>
  <c r="A52" i="16"/>
  <c r="B51" i="16"/>
  <c r="D51" i="16"/>
  <c r="I28" i="16"/>
  <c r="C29" i="16" s="1"/>
  <c r="A82" i="18" l="1"/>
  <c r="D81" i="18"/>
  <c r="B81" i="18"/>
  <c r="J28" i="18"/>
  <c r="F28" i="18"/>
  <c r="G28" i="18" s="1"/>
  <c r="B54" i="17"/>
  <c r="D54" i="17"/>
  <c r="A55" i="17"/>
  <c r="E28" i="17"/>
  <c r="H28" i="17"/>
  <c r="A53" i="16"/>
  <c r="B52" i="16"/>
  <c r="D52" i="16"/>
  <c r="E29" i="16"/>
  <c r="H29" i="16"/>
  <c r="A83" i="18" l="1"/>
  <c r="D82" i="18"/>
  <c r="B82" i="18"/>
  <c r="I28" i="18"/>
  <c r="C29" i="18" s="1"/>
  <c r="F29" i="16"/>
  <c r="G29" i="16" s="1"/>
  <c r="A56" i="17"/>
  <c r="B55" i="17"/>
  <c r="D55" i="17"/>
  <c r="F28" i="17"/>
  <c r="G28" i="17" s="1"/>
  <c r="J28" i="17"/>
  <c r="A54" i="16"/>
  <c r="B53" i="16"/>
  <c r="D53" i="16"/>
  <c r="J29" i="16"/>
  <c r="A84" i="18" l="1"/>
  <c r="D83" i="18"/>
  <c r="B83" i="18"/>
  <c r="E29" i="18"/>
  <c r="H29" i="18"/>
  <c r="I29" i="16"/>
  <c r="C30" i="16" s="1"/>
  <c r="A57" i="17"/>
  <c r="B56" i="17"/>
  <c r="D56" i="17"/>
  <c r="I28" i="17"/>
  <c r="C29" i="17" s="1"/>
  <c r="B54" i="16"/>
  <c r="D54" i="16"/>
  <c r="A55" i="16"/>
  <c r="A85" i="18" l="1"/>
  <c r="D84" i="18"/>
  <c r="B84" i="18"/>
  <c r="F29" i="18"/>
  <c r="G29" i="18" s="1"/>
  <c r="J29" i="18"/>
  <c r="H30" i="16"/>
  <c r="E30" i="16"/>
  <c r="B57" i="17"/>
  <c r="D57" i="17"/>
  <c r="A58" i="17"/>
  <c r="E29" i="17"/>
  <c r="H29" i="17"/>
  <c r="D55" i="16"/>
  <c r="B55" i="16"/>
  <c r="A56" i="16"/>
  <c r="A86" i="18" l="1"/>
  <c r="D85" i="18"/>
  <c r="B85" i="18"/>
  <c r="I29" i="18"/>
  <c r="C30" i="18" s="1"/>
  <c r="F30" i="16"/>
  <c r="G30" i="16" s="1"/>
  <c r="J30" i="16"/>
  <c r="D58" i="17"/>
  <c r="B58" i="17"/>
  <c r="A59" i="17"/>
  <c r="F29" i="17"/>
  <c r="G29" i="17" s="1"/>
  <c r="J29" i="17"/>
  <c r="B56" i="16"/>
  <c r="D56" i="16"/>
  <c r="A57" i="16"/>
  <c r="A87" i="18" l="1"/>
  <c r="D86" i="18"/>
  <c r="B86" i="18"/>
  <c r="E30" i="18"/>
  <c r="H30" i="18"/>
  <c r="I29" i="17"/>
  <c r="C30" i="17" s="1"/>
  <c r="I30" i="16"/>
  <c r="C31" i="16" s="1"/>
  <c r="B59" i="17"/>
  <c r="A60" i="17"/>
  <c r="D59" i="17"/>
  <c r="B57" i="16"/>
  <c r="A58" i="16"/>
  <c r="D57" i="16"/>
  <c r="A88" i="18" l="1"/>
  <c r="D87" i="18"/>
  <c r="B87" i="18"/>
  <c r="F30" i="18"/>
  <c r="G30" i="18" s="1"/>
  <c r="J30" i="18"/>
  <c r="H30" i="17"/>
  <c r="E30" i="17"/>
  <c r="H31" i="16"/>
  <c r="E31" i="16"/>
  <c r="D60" i="17"/>
  <c r="B60" i="17"/>
  <c r="A61" i="17"/>
  <c r="J30" i="17"/>
  <c r="F30" i="17"/>
  <c r="G30" i="17" s="1"/>
  <c r="B58" i="16"/>
  <c r="A59" i="16"/>
  <c r="D58" i="16"/>
  <c r="A89" i="18" l="1"/>
  <c r="D88" i="18"/>
  <c r="B88" i="18"/>
  <c r="I30" i="18"/>
  <c r="C31" i="18" s="1"/>
  <c r="J31" i="16"/>
  <c r="F31" i="16"/>
  <c r="G31" i="16" s="1"/>
  <c r="B61" i="17"/>
  <c r="D61" i="17"/>
  <c r="A62" i="17"/>
  <c r="I30" i="17"/>
  <c r="C31" i="17" s="1"/>
  <c r="D59" i="16"/>
  <c r="B59" i="16"/>
  <c r="A60" i="16"/>
  <c r="A90" i="18" l="1"/>
  <c r="D89" i="18"/>
  <c r="B89" i="18"/>
  <c r="E31" i="18"/>
  <c r="H31" i="18"/>
  <c r="I31" i="16"/>
  <c r="C32" i="16" s="1"/>
  <c r="A63" i="17"/>
  <c r="D62" i="17"/>
  <c r="B62" i="17"/>
  <c r="E31" i="17"/>
  <c r="H31" i="17"/>
  <c r="J31" i="17"/>
  <c r="D60" i="16"/>
  <c r="A61" i="16"/>
  <c r="B60" i="16"/>
  <c r="H32" i="16"/>
  <c r="E32" i="16"/>
  <c r="A91" i="18" l="1"/>
  <c r="D90" i="18"/>
  <c r="B90" i="18"/>
  <c r="I31" i="18"/>
  <c r="C32" i="18" s="1"/>
  <c r="F31" i="18"/>
  <c r="G31" i="18" s="1"/>
  <c r="J31" i="18"/>
  <c r="F31" i="17"/>
  <c r="G31" i="17" s="1"/>
  <c r="F32" i="16"/>
  <c r="G32" i="16" s="1"/>
  <c r="J32" i="16"/>
  <c r="B63" i="17"/>
  <c r="D63" i="17"/>
  <c r="A64" i="17"/>
  <c r="B61" i="16"/>
  <c r="A62" i="16"/>
  <c r="D61" i="16"/>
  <c r="A92" i="18" l="1"/>
  <c r="D91" i="18"/>
  <c r="B91" i="18"/>
  <c r="H32" i="18"/>
  <c r="E32" i="18"/>
  <c r="I31" i="17"/>
  <c r="C32" i="17" s="1"/>
  <c r="I32" i="16"/>
  <c r="C33" i="16" s="1"/>
  <c r="D64" i="17"/>
  <c r="B64" i="17"/>
  <c r="A65" i="17"/>
  <c r="D62" i="16"/>
  <c r="A63" i="16"/>
  <c r="B62" i="16"/>
  <c r="A93" i="18" l="1"/>
  <c r="D92" i="18"/>
  <c r="B92" i="18"/>
  <c r="J32" i="18"/>
  <c r="F32" i="18"/>
  <c r="G32" i="18" s="1"/>
  <c r="E32" i="17"/>
  <c r="F32" i="17" s="1"/>
  <c r="G32" i="17" s="1"/>
  <c r="H32" i="17"/>
  <c r="J32" i="17" s="1"/>
  <c r="E33" i="16"/>
  <c r="H33" i="16"/>
  <c r="D65" i="17"/>
  <c r="B65" i="17"/>
  <c r="A66" i="17"/>
  <c r="D63" i="16"/>
  <c r="A64" i="16"/>
  <c r="B63" i="16"/>
  <c r="A94" i="18" l="1"/>
  <c r="D93" i="18"/>
  <c r="B93" i="18"/>
  <c r="I32" i="18"/>
  <c r="C33" i="18" s="1"/>
  <c r="I32" i="17"/>
  <c r="C33" i="17" s="1"/>
  <c r="E33" i="17" s="1"/>
  <c r="F33" i="16"/>
  <c r="G33" i="16" s="1"/>
  <c r="J33" i="16"/>
  <c r="A67" i="17"/>
  <c r="B66" i="17"/>
  <c r="D66" i="17"/>
  <c r="H33" i="17"/>
  <c r="B64" i="16"/>
  <c r="D64" i="16"/>
  <c r="A65" i="16"/>
  <c r="A95" i="18" l="1"/>
  <c r="D94" i="18"/>
  <c r="B94" i="18"/>
  <c r="E33" i="18"/>
  <c r="H33" i="18"/>
  <c r="F33" i="17"/>
  <c r="G33" i="17" s="1"/>
  <c r="I33" i="16"/>
  <c r="C34" i="16" s="1"/>
  <c r="A68" i="17"/>
  <c r="B67" i="17"/>
  <c r="D67" i="17"/>
  <c r="J33" i="17"/>
  <c r="I33" i="17"/>
  <c r="C34" i="17" s="1"/>
  <c r="D65" i="16"/>
  <c r="B65" i="16"/>
  <c r="A66" i="16"/>
  <c r="E34" i="16"/>
  <c r="H34" i="16"/>
  <c r="A96" i="18" l="1"/>
  <c r="D95" i="18"/>
  <c r="B95" i="18"/>
  <c r="I33" i="18"/>
  <c r="C34" i="18" s="1"/>
  <c r="F33" i="18"/>
  <c r="G33" i="18" s="1"/>
  <c r="J33" i="18"/>
  <c r="E34" i="17"/>
  <c r="H34" i="17"/>
  <c r="J34" i="16"/>
  <c r="D68" i="17"/>
  <c r="A69" i="17"/>
  <c r="B68" i="17"/>
  <c r="D66" i="16"/>
  <c r="B66" i="16"/>
  <c r="A67" i="16"/>
  <c r="F34" i="16"/>
  <c r="G34" i="16" s="1"/>
  <c r="A97" i="18" l="1"/>
  <c r="D96" i="18"/>
  <c r="B96" i="18"/>
  <c r="H34" i="18"/>
  <c r="E34" i="18"/>
  <c r="J34" i="17"/>
  <c r="F34" i="17"/>
  <c r="G34" i="17" s="1"/>
  <c r="A70" i="17"/>
  <c r="B69" i="17"/>
  <c r="D69" i="17"/>
  <c r="B67" i="16"/>
  <c r="A68" i="16"/>
  <c r="D67" i="16"/>
  <c r="I34" i="16"/>
  <c r="C35" i="16" s="1"/>
  <c r="A98" i="18" l="1"/>
  <c r="D97" i="18"/>
  <c r="B97" i="18"/>
  <c r="J34" i="18"/>
  <c r="I34" i="18"/>
  <c r="C35" i="18" s="1"/>
  <c r="F34" i="18"/>
  <c r="G34" i="18" s="1"/>
  <c r="I34" i="17"/>
  <c r="C35" i="17" s="1"/>
  <c r="A71" i="17"/>
  <c r="D70" i="17"/>
  <c r="B70" i="17"/>
  <c r="D68" i="16"/>
  <c r="A69" i="16"/>
  <c r="B68" i="16"/>
  <c r="E35" i="16"/>
  <c r="H35" i="16"/>
  <c r="A99" i="18" l="1"/>
  <c r="D98" i="18"/>
  <c r="B98" i="18"/>
  <c r="H35" i="18"/>
  <c r="E35" i="18"/>
  <c r="E35" i="17"/>
  <c r="H35" i="17"/>
  <c r="J35" i="17" s="1"/>
  <c r="D71" i="17"/>
  <c r="A72" i="17"/>
  <c r="B71" i="17"/>
  <c r="B69" i="16"/>
  <c r="A70" i="16"/>
  <c r="D69" i="16"/>
  <c r="F35" i="16"/>
  <c r="G35" i="16" s="1"/>
  <c r="J35" i="16"/>
  <c r="A100" i="18" l="1"/>
  <c r="D99" i="18"/>
  <c r="B99" i="18"/>
  <c r="J35" i="18"/>
  <c r="F35" i="18"/>
  <c r="G35" i="18" s="1"/>
  <c r="F35" i="17"/>
  <c r="G35" i="17" s="1"/>
  <c r="B72" i="17"/>
  <c r="D72" i="17"/>
  <c r="A73" i="17"/>
  <c r="D70" i="16"/>
  <c r="A71" i="16"/>
  <c r="B70" i="16"/>
  <c r="I35" i="16"/>
  <c r="C36" i="16" s="1"/>
  <c r="A101" i="18" l="1"/>
  <c r="D100" i="18"/>
  <c r="B100" i="18"/>
  <c r="I35" i="18"/>
  <c r="C36" i="18" s="1"/>
  <c r="I35" i="17"/>
  <c r="C36" i="17" s="1"/>
  <c r="E36" i="16"/>
  <c r="B73" i="17"/>
  <c r="D73" i="17"/>
  <c r="A74" i="17"/>
  <c r="D71" i="16"/>
  <c r="B71" i="16"/>
  <c r="A72" i="16"/>
  <c r="H36" i="16"/>
  <c r="J36" i="16"/>
  <c r="A102" i="18" l="1"/>
  <c r="D101" i="18"/>
  <c r="B101" i="18"/>
  <c r="E36" i="18"/>
  <c r="H36" i="18"/>
  <c r="H36" i="17"/>
  <c r="J36" i="17" s="1"/>
  <c r="E36" i="17"/>
  <c r="F36" i="16"/>
  <c r="G36" i="16" s="1"/>
  <c r="D74" i="17"/>
  <c r="B74" i="17"/>
  <c r="A75" i="17"/>
  <c r="B72" i="16"/>
  <c r="D72" i="16"/>
  <c r="A73" i="16"/>
  <c r="A103" i="18" l="1"/>
  <c r="D102" i="18"/>
  <c r="B102" i="18"/>
  <c r="F36" i="18"/>
  <c r="G36" i="18" s="1"/>
  <c r="J36" i="18"/>
  <c r="F36" i="17"/>
  <c r="G36" i="17" s="1"/>
  <c r="I36" i="16"/>
  <c r="C37" i="16" s="1"/>
  <c r="H37" i="16" s="1"/>
  <c r="D75" i="17"/>
  <c r="A76" i="17"/>
  <c r="B75" i="17"/>
  <c r="B73" i="16"/>
  <c r="D73" i="16"/>
  <c r="A74" i="16"/>
  <c r="E37" i="16"/>
  <c r="A104" i="18" l="1"/>
  <c r="D103" i="18"/>
  <c r="B103" i="18"/>
  <c r="I36" i="18"/>
  <c r="C37" i="18" s="1"/>
  <c r="I36" i="17"/>
  <c r="C37" i="17" s="1"/>
  <c r="F37" i="16"/>
  <c r="G37" i="16" s="1"/>
  <c r="J37" i="16"/>
  <c r="B76" i="17"/>
  <c r="D76" i="17"/>
  <c r="A77" i="17"/>
  <c r="A75" i="16"/>
  <c r="D74" i="16"/>
  <c r="B74" i="16"/>
  <c r="I37" i="16"/>
  <c r="C38" i="16" s="1"/>
  <c r="A105" i="18" l="1"/>
  <c r="D104" i="18"/>
  <c r="B104" i="18"/>
  <c r="E37" i="18"/>
  <c r="H37" i="18"/>
  <c r="H37" i="17"/>
  <c r="J37" i="17" s="1"/>
  <c r="E37" i="17"/>
  <c r="A78" i="17"/>
  <c r="B77" i="17"/>
  <c r="D77" i="17"/>
  <c r="B75" i="16"/>
  <c r="D75" i="16"/>
  <c r="A76" i="16"/>
  <c r="H38" i="16"/>
  <c r="E38" i="16"/>
  <c r="A106" i="18" l="1"/>
  <c r="D105" i="18"/>
  <c r="B105" i="18"/>
  <c r="I37" i="18"/>
  <c r="C38" i="18" s="1"/>
  <c r="F37" i="18"/>
  <c r="G37" i="18" s="1"/>
  <c r="J37" i="18"/>
  <c r="F37" i="17"/>
  <c r="G37" i="17" s="1"/>
  <c r="D78" i="17"/>
  <c r="B78" i="17"/>
  <c r="A79" i="17"/>
  <c r="A77" i="16"/>
  <c r="D76" i="16"/>
  <c r="B76" i="16"/>
  <c r="J38" i="16"/>
  <c r="F38" i="16"/>
  <c r="G38" i="16" s="1"/>
  <c r="D106" i="18" l="1"/>
  <c r="B106" i="18"/>
  <c r="A107" i="18"/>
  <c r="H38" i="18"/>
  <c r="E38" i="18"/>
  <c r="I37" i="17"/>
  <c r="C38" i="17" s="1"/>
  <c r="A80" i="17"/>
  <c r="B79" i="17"/>
  <c r="D79" i="17"/>
  <c r="B77" i="16"/>
  <c r="A78" i="16"/>
  <c r="D77" i="16"/>
  <c r="I38" i="16"/>
  <c r="C39" i="16" s="1"/>
  <c r="A108" i="18" l="1"/>
  <c r="D107" i="18"/>
  <c r="B107" i="18"/>
  <c r="J38" i="18"/>
  <c r="I38" i="18"/>
  <c r="C39" i="18" s="1"/>
  <c r="F38" i="18"/>
  <c r="G38" i="18" s="1"/>
  <c r="E38" i="17"/>
  <c r="H38" i="17"/>
  <c r="J38" i="17" s="1"/>
  <c r="D80" i="17"/>
  <c r="A81" i="17"/>
  <c r="B80" i="17"/>
  <c r="D78" i="16"/>
  <c r="B78" i="16"/>
  <c r="A79" i="16"/>
  <c r="E39" i="16"/>
  <c r="H39" i="16"/>
  <c r="A109" i="18" l="1"/>
  <c r="D108" i="18"/>
  <c r="B108" i="18"/>
  <c r="H39" i="18"/>
  <c r="E39" i="18"/>
  <c r="F38" i="17"/>
  <c r="G38" i="17" s="1"/>
  <c r="F39" i="16"/>
  <c r="G39" i="16" s="1"/>
  <c r="A82" i="17"/>
  <c r="B81" i="17"/>
  <c r="D81" i="17"/>
  <c r="B79" i="16"/>
  <c r="A80" i="16"/>
  <c r="D79" i="16"/>
  <c r="J39" i="16"/>
  <c r="A110" i="18" l="1"/>
  <c r="D109" i="18"/>
  <c r="B109" i="18"/>
  <c r="J39" i="18"/>
  <c r="I39" i="18"/>
  <c r="C40" i="18" s="1"/>
  <c r="F39" i="18"/>
  <c r="G39" i="18" s="1"/>
  <c r="I39" i="16"/>
  <c r="C40" i="16" s="1"/>
  <c r="I38" i="17"/>
  <c r="C39" i="17" s="1"/>
  <c r="A83" i="17"/>
  <c r="D82" i="17"/>
  <c r="B82" i="17"/>
  <c r="B80" i="16"/>
  <c r="D80" i="16"/>
  <c r="A81" i="16"/>
  <c r="A111" i="18" l="1"/>
  <c r="D110" i="18"/>
  <c r="B110" i="18"/>
  <c r="H40" i="18"/>
  <c r="E40" i="18"/>
  <c r="H39" i="17"/>
  <c r="J39" i="17" s="1"/>
  <c r="E39" i="17"/>
  <c r="H40" i="16"/>
  <c r="E40" i="16"/>
  <c r="B83" i="17"/>
  <c r="A84" i="17"/>
  <c r="D83" i="17"/>
  <c r="B81" i="16"/>
  <c r="D81" i="16"/>
  <c r="A82" i="16"/>
  <c r="F40" i="16"/>
  <c r="G40" i="16" s="1"/>
  <c r="A112" i="18" l="1"/>
  <c r="D111" i="18"/>
  <c r="B111" i="18"/>
  <c r="J40" i="18"/>
  <c r="I40" i="18"/>
  <c r="C41" i="18" s="1"/>
  <c r="F40" i="18"/>
  <c r="G40" i="18" s="1"/>
  <c r="F39" i="17"/>
  <c r="G39" i="17" s="1"/>
  <c r="J40" i="16"/>
  <c r="A85" i="17"/>
  <c r="B84" i="17"/>
  <c r="D84" i="17"/>
  <c r="D82" i="16"/>
  <c r="A83" i="16"/>
  <c r="B82" i="16"/>
  <c r="I40" i="16"/>
  <c r="C41" i="16" s="1"/>
  <c r="A113" i="18" l="1"/>
  <c r="D112" i="18"/>
  <c r="B112" i="18"/>
  <c r="H41" i="18"/>
  <c r="E41" i="18"/>
  <c r="I39" i="17"/>
  <c r="C40" i="17" s="1"/>
  <c r="D85" i="17"/>
  <c r="B85" i="17"/>
  <c r="A86" i="17"/>
  <c r="B83" i="16"/>
  <c r="D83" i="16"/>
  <c r="A84" i="16"/>
  <c r="H41" i="16"/>
  <c r="E41" i="16"/>
  <c r="A114" i="18" l="1"/>
  <c r="D113" i="18"/>
  <c r="B113" i="18"/>
  <c r="J41" i="18"/>
  <c r="I41" i="18"/>
  <c r="C42" i="18" s="1"/>
  <c r="F41" i="18"/>
  <c r="G41" i="18" s="1"/>
  <c r="H40" i="17"/>
  <c r="J40" i="17" s="1"/>
  <c r="E40" i="17"/>
  <c r="B86" i="17"/>
  <c r="D86" i="17"/>
  <c r="A87" i="17"/>
  <c r="A85" i="16"/>
  <c r="B84" i="16"/>
  <c r="D84" i="16"/>
  <c r="F41" i="16"/>
  <c r="G41" i="16" s="1"/>
  <c r="J41" i="16"/>
  <c r="A115" i="18" l="1"/>
  <c r="D114" i="18"/>
  <c r="B114" i="18"/>
  <c r="H42" i="18"/>
  <c r="E42" i="18"/>
  <c r="F40" i="17"/>
  <c r="G40" i="17" s="1"/>
  <c r="A88" i="17"/>
  <c r="B87" i="17"/>
  <c r="D87" i="17"/>
  <c r="B85" i="16"/>
  <c r="D85" i="16"/>
  <c r="A86" i="16"/>
  <c r="I41" i="16"/>
  <c r="C42" i="16" s="1"/>
  <c r="A116" i="18" l="1"/>
  <c r="D115" i="18"/>
  <c r="B115" i="18"/>
  <c r="J42" i="18"/>
  <c r="I42" i="18"/>
  <c r="C43" i="18" s="1"/>
  <c r="F42" i="18"/>
  <c r="G42" i="18" s="1"/>
  <c r="I40" i="17"/>
  <c r="C41" i="17" s="1"/>
  <c r="E42" i="16"/>
  <c r="H42" i="16"/>
  <c r="D88" i="17"/>
  <c r="B88" i="17"/>
  <c r="A89" i="17"/>
  <c r="B86" i="16"/>
  <c r="A87" i="16"/>
  <c r="D86" i="16"/>
  <c r="F42" i="16"/>
  <c r="G42" i="16" s="1"/>
  <c r="A117" i="18" l="1"/>
  <c r="D116" i="18"/>
  <c r="B116" i="18"/>
  <c r="H43" i="18"/>
  <c r="E43" i="18"/>
  <c r="E41" i="17"/>
  <c r="H41" i="17"/>
  <c r="J42" i="16"/>
  <c r="A90" i="17"/>
  <c r="B89" i="17"/>
  <c r="D89" i="17"/>
  <c r="D87" i="16"/>
  <c r="B87" i="16"/>
  <c r="A88" i="16"/>
  <c r="I42" i="16"/>
  <c r="C43" i="16" s="1"/>
  <c r="A118" i="18" l="1"/>
  <c r="D117" i="18"/>
  <c r="B117" i="18"/>
  <c r="J43" i="18"/>
  <c r="I43" i="18"/>
  <c r="C44" i="18" s="1"/>
  <c r="F43" i="18"/>
  <c r="G43" i="18" s="1"/>
  <c r="F41" i="17"/>
  <c r="G41" i="17" s="1"/>
  <c r="I41" i="17"/>
  <c r="C42" i="17" s="1"/>
  <c r="J41" i="17"/>
  <c r="A91" i="17"/>
  <c r="B90" i="17"/>
  <c r="D90" i="17"/>
  <c r="B88" i="16"/>
  <c r="D88" i="16"/>
  <c r="A89" i="16"/>
  <c r="H43" i="16"/>
  <c r="E43" i="16"/>
  <c r="A119" i="18" l="1"/>
  <c r="D118" i="18"/>
  <c r="B118" i="18"/>
  <c r="H44" i="18"/>
  <c r="E44" i="18"/>
  <c r="H42" i="17"/>
  <c r="E42" i="17"/>
  <c r="B91" i="17"/>
  <c r="A92" i="17"/>
  <c r="D91" i="17"/>
  <c r="D89" i="16"/>
  <c r="A90" i="16"/>
  <c r="B89" i="16"/>
  <c r="J43" i="16"/>
  <c r="F43" i="16"/>
  <c r="G43" i="16" s="1"/>
  <c r="B119" i="18" l="1"/>
  <c r="D119" i="18"/>
  <c r="A120" i="18"/>
  <c r="J44" i="18"/>
  <c r="I44" i="18"/>
  <c r="C45" i="18" s="1"/>
  <c r="F44" i="18"/>
  <c r="G44" i="18" s="1"/>
  <c r="J42" i="17"/>
  <c r="I42" i="17"/>
  <c r="C43" i="17" s="1"/>
  <c r="F42" i="17"/>
  <c r="G42" i="17" s="1"/>
  <c r="D92" i="17"/>
  <c r="A93" i="17"/>
  <c r="B92" i="17"/>
  <c r="A91" i="16"/>
  <c r="B90" i="16"/>
  <c r="D90" i="16"/>
  <c r="I43" i="16"/>
  <c r="C44" i="16" s="1"/>
  <c r="A121" i="18" l="1"/>
  <c r="D120" i="18"/>
  <c r="B120" i="18"/>
  <c r="H45" i="18"/>
  <c r="E45" i="18"/>
  <c r="E43" i="17"/>
  <c r="H43" i="17"/>
  <c r="D93" i="17"/>
  <c r="A94" i="17"/>
  <c r="B93" i="17"/>
  <c r="D91" i="16"/>
  <c r="A92" i="16"/>
  <c r="B91" i="16"/>
  <c r="H44" i="16"/>
  <c r="E44" i="16"/>
  <c r="A122" i="18" l="1"/>
  <c r="D121" i="18"/>
  <c r="B121" i="18"/>
  <c r="J45" i="18"/>
  <c r="I45" i="18"/>
  <c r="C46" i="18" s="1"/>
  <c r="F45" i="18"/>
  <c r="G45" i="18" s="1"/>
  <c r="F43" i="17"/>
  <c r="G43" i="17" s="1"/>
  <c r="I43" i="17"/>
  <c r="C44" i="17" s="1"/>
  <c r="J43" i="17"/>
  <c r="D94" i="17"/>
  <c r="B94" i="17"/>
  <c r="A95" i="17"/>
  <c r="B92" i="16"/>
  <c r="A93" i="16"/>
  <c r="D92" i="16"/>
  <c r="J44" i="16"/>
  <c r="F44" i="16"/>
  <c r="G44" i="16" s="1"/>
  <c r="A123" i="18" l="1"/>
  <c r="D122" i="18"/>
  <c r="B122" i="18"/>
  <c r="H46" i="18"/>
  <c r="E46" i="18"/>
  <c r="E44" i="17"/>
  <c r="H44" i="17"/>
  <c r="D95" i="17"/>
  <c r="A96" i="17"/>
  <c r="B95" i="17"/>
  <c r="A94" i="16"/>
  <c r="B93" i="16"/>
  <c r="D93" i="16"/>
  <c r="I44" i="16"/>
  <c r="C45" i="16" s="1"/>
  <c r="A124" i="18" l="1"/>
  <c r="D123" i="18"/>
  <c r="B123" i="18"/>
  <c r="J46" i="18"/>
  <c r="I46" i="18"/>
  <c r="C47" i="18" s="1"/>
  <c r="F46" i="18"/>
  <c r="G46" i="18" s="1"/>
  <c r="F44" i="17"/>
  <c r="G44" i="17" s="1"/>
  <c r="I44" i="17"/>
  <c r="C45" i="17" s="1"/>
  <c r="J44" i="17"/>
  <c r="B96" i="17"/>
  <c r="D96" i="17"/>
  <c r="A97" i="17"/>
  <c r="D94" i="16"/>
  <c r="B94" i="16"/>
  <c r="A95" i="16"/>
  <c r="H45" i="16"/>
  <c r="E45" i="16"/>
  <c r="A125" i="18" l="1"/>
  <c r="D124" i="18"/>
  <c r="B124" i="18"/>
  <c r="H47" i="18"/>
  <c r="E47" i="18"/>
  <c r="E45" i="17"/>
  <c r="H45" i="17"/>
  <c r="A98" i="17"/>
  <c r="B97" i="17"/>
  <c r="D97" i="17"/>
  <c r="B95" i="16"/>
  <c r="D95" i="16"/>
  <c r="A96" i="16"/>
  <c r="J45" i="16"/>
  <c r="F45" i="16"/>
  <c r="G45" i="16" s="1"/>
  <c r="A126" i="18" l="1"/>
  <c r="D125" i="18"/>
  <c r="B125" i="18"/>
  <c r="J47" i="18"/>
  <c r="I47" i="18"/>
  <c r="C48" i="18" s="1"/>
  <c r="F47" i="18"/>
  <c r="G47" i="18" s="1"/>
  <c r="I45" i="17"/>
  <c r="C46" i="17" s="1"/>
  <c r="F45" i="17"/>
  <c r="G45" i="17" s="1"/>
  <c r="J45" i="17"/>
  <c r="A99" i="17"/>
  <c r="B98" i="17"/>
  <c r="D98" i="17"/>
  <c r="D96" i="16"/>
  <c r="A97" i="16"/>
  <c r="B96" i="16"/>
  <c r="I45" i="16"/>
  <c r="C46" i="16" s="1"/>
  <c r="A127" i="18" l="1"/>
  <c r="D126" i="18"/>
  <c r="B126" i="18"/>
  <c r="H48" i="18"/>
  <c r="E48" i="18"/>
  <c r="E46" i="17"/>
  <c r="H46" i="17"/>
  <c r="B99" i="17"/>
  <c r="D99" i="17"/>
  <c r="A100" i="17"/>
  <c r="A98" i="16"/>
  <c r="D97" i="16"/>
  <c r="B97" i="16"/>
  <c r="E46" i="16"/>
  <c r="H46" i="16"/>
  <c r="A128" i="18" l="1"/>
  <c r="D127" i="18"/>
  <c r="B127" i="18"/>
  <c r="J48" i="18"/>
  <c r="I48" i="18"/>
  <c r="C49" i="18" s="1"/>
  <c r="F48" i="18"/>
  <c r="G48" i="18" s="1"/>
  <c r="I46" i="17"/>
  <c r="C47" i="17" s="1"/>
  <c r="F46" i="17"/>
  <c r="G46" i="17" s="1"/>
  <c r="J46" i="17"/>
  <c r="B100" i="17"/>
  <c r="D100" i="17"/>
  <c r="A101" i="17"/>
  <c r="B98" i="16"/>
  <c r="D98" i="16"/>
  <c r="A99" i="16"/>
  <c r="J46" i="16"/>
  <c r="F46" i="16"/>
  <c r="G46" i="16" s="1"/>
  <c r="A129" i="18" l="1"/>
  <c r="D128" i="18"/>
  <c r="B128" i="18"/>
  <c r="E49" i="18"/>
  <c r="H49" i="18"/>
  <c r="E47" i="17"/>
  <c r="H47" i="17"/>
  <c r="B101" i="17"/>
  <c r="D101" i="17"/>
  <c r="A102" i="17"/>
  <c r="B99" i="16"/>
  <c r="D99" i="16"/>
  <c r="A100" i="16"/>
  <c r="I46" i="16"/>
  <c r="C47" i="16" s="1"/>
  <c r="A130" i="18" l="1"/>
  <c r="D129" i="18"/>
  <c r="B129" i="18"/>
  <c r="F49" i="18"/>
  <c r="G49" i="18" s="1"/>
  <c r="I49" i="18"/>
  <c r="C50" i="18" s="1"/>
  <c r="J49" i="18"/>
  <c r="I47" i="17"/>
  <c r="C48" i="17" s="1"/>
  <c r="F47" i="17"/>
  <c r="G47" i="17" s="1"/>
  <c r="J47" i="17"/>
  <c r="B102" i="17"/>
  <c r="A103" i="17"/>
  <c r="D102" i="17"/>
  <c r="B100" i="16"/>
  <c r="D100" i="16"/>
  <c r="A101" i="16"/>
  <c r="H47" i="16"/>
  <c r="E47" i="16"/>
  <c r="J47" i="16"/>
  <c r="A131" i="18" l="1"/>
  <c r="D130" i="18"/>
  <c r="B130" i="18"/>
  <c r="E50" i="18"/>
  <c r="H50" i="18"/>
  <c r="E48" i="17"/>
  <c r="H48" i="17"/>
  <c r="D103" i="17"/>
  <c r="B103" i="17"/>
  <c r="A104" i="17"/>
  <c r="B101" i="16"/>
  <c r="D101" i="16"/>
  <c r="A102" i="16"/>
  <c r="F47" i="16"/>
  <c r="G47" i="16" s="1"/>
  <c r="A132" i="18" l="1"/>
  <c r="D131" i="18"/>
  <c r="B131" i="18"/>
  <c r="I50" i="18"/>
  <c r="C51" i="18" s="1"/>
  <c r="F50" i="18"/>
  <c r="G50" i="18" s="1"/>
  <c r="J50" i="18"/>
  <c r="F48" i="17"/>
  <c r="G48" i="17" s="1"/>
  <c r="I48" i="17"/>
  <c r="C49" i="17" s="1"/>
  <c r="J48" i="17"/>
  <c r="I47" i="16"/>
  <c r="C48" i="16" s="1"/>
  <c r="A105" i="17"/>
  <c r="B104" i="17"/>
  <c r="D104" i="17"/>
  <c r="B102" i="16"/>
  <c r="D102" i="16"/>
  <c r="A103" i="16"/>
  <c r="A133" i="18" l="1"/>
  <c r="D132" i="18"/>
  <c r="B132" i="18"/>
  <c r="E51" i="18"/>
  <c r="H51" i="18"/>
  <c r="E49" i="17"/>
  <c r="H49" i="17"/>
  <c r="E48" i="16"/>
  <c r="H48" i="16"/>
  <c r="B105" i="17"/>
  <c r="D105" i="17"/>
  <c r="A106" i="17"/>
  <c r="B103" i="16"/>
  <c r="D103" i="16"/>
  <c r="A104" i="16"/>
  <c r="A134" i="18" l="1"/>
  <c r="D133" i="18"/>
  <c r="B133" i="18"/>
  <c r="F51" i="18"/>
  <c r="G51" i="18" s="1"/>
  <c r="I51" i="18"/>
  <c r="C52" i="18" s="1"/>
  <c r="J51" i="18"/>
  <c r="I49" i="17"/>
  <c r="C50" i="17" s="1"/>
  <c r="F49" i="17"/>
  <c r="G49" i="17" s="1"/>
  <c r="J49" i="17"/>
  <c r="J48" i="16"/>
  <c r="F48" i="16"/>
  <c r="G48" i="16" s="1"/>
  <c r="A107" i="17"/>
  <c r="B106" i="17"/>
  <c r="D106" i="17"/>
  <c r="B104" i="16"/>
  <c r="D104" i="16"/>
  <c r="A105" i="16"/>
  <c r="A135" i="18" l="1"/>
  <c r="D134" i="18"/>
  <c r="B134" i="18"/>
  <c r="E52" i="18"/>
  <c r="H52" i="18"/>
  <c r="H50" i="17"/>
  <c r="E50" i="17"/>
  <c r="I48" i="16"/>
  <c r="C49" i="16" s="1"/>
  <c r="A108" i="17"/>
  <c r="D107" i="17"/>
  <c r="B107" i="17"/>
  <c r="D105" i="16"/>
  <c r="A106" i="16"/>
  <c r="B105" i="16"/>
  <c r="E49" i="16"/>
  <c r="A136" i="18" l="1"/>
  <c r="D135" i="18"/>
  <c r="B135" i="18"/>
  <c r="F52" i="18"/>
  <c r="G52" i="18" s="1"/>
  <c r="I52" i="18"/>
  <c r="C53" i="18" s="1"/>
  <c r="J52" i="18"/>
  <c r="J50" i="17"/>
  <c r="I50" i="17"/>
  <c r="C51" i="17" s="1"/>
  <c r="F50" i="17"/>
  <c r="G50" i="17" s="1"/>
  <c r="H49" i="16"/>
  <c r="B108" i="17"/>
  <c r="D108" i="17"/>
  <c r="A109" i="17"/>
  <c r="B106" i="16"/>
  <c r="D106" i="16"/>
  <c r="A107" i="16"/>
  <c r="J49" i="16"/>
  <c r="F49" i="16"/>
  <c r="G49" i="16" s="1"/>
  <c r="A137" i="18" l="1"/>
  <c r="D136" i="18"/>
  <c r="B136" i="18"/>
  <c r="E53" i="18"/>
  <c r="H53" i="18"/>
  <c r="E51" i="17"/>
  <c r="H51" i="17"/>
  <c r="D109" i="17"/>
  <c r="A110" i="17"/>
  <c r="B109" i="17"/>
  <c r="D107" i="16"/>
  <c r="A108" i="16"/>
  <c r="B107" i="16"/>
  <c r="I49" i="16"/>
  <c r="C50" i="16" s="1"/>
  <c r="A138" i="18" l="1"/>
  <c r="D137" i="18"/>
  <c r="B137" i="18"/>
  <c r="F53" i="18"/>
  <c r="G53" i="18" s="1"/>
  <c r="I53" i="18"/>
  <c r="C54" i="18" s="1"/>
  <c r="J53" i="18"/>
  <c r="I51" i="17"/>
  <c r="C52" i="17" s="1"/>
  <c r="F51" i="17"/>
  <c r="G51" i="17" s="1"/>
  <c r="J51" i="17"/>
  <c r="D110" i="17"/>
  <c r="A111" i="17"/>
  <c r="B110" i="17"/>
  <c r="B108" i="16"/>
  <c r="D108" i="16"/>
  <c r="A109" i="16"/>
  <c r="E50" i="16"/>
  <c r="H50" i="16"/>
  <c r="A139" i="18" l="1"/>
  <c r="D138" i="18"/>
  <c r="B138" i="18"/>
  <c r="E54" i="18"/>
  <c r="H54" i="18"/>
  <c r="H52" i="17"/>
  <c r="E52" i="17"/>
  <c r="D111" i="17"/>
  <c r="A112" i="17"/>
  <c r="B111" i="17"/>
  <c r="B109" i="16"/>
  <c r="D109" i="16"/>
  <c r="A110" i="16"/>
  <c r="J50" i="16"/>
  <c r="F50" i="16"/>
  <c r="G50" i="16" s="1"/>
  <c r="A140" i="18" l="1"/>
  <c r="D139" i="18"/>
  <c r="B139" i="18"/>
  <c r="I54" i="18"/>
  <c r="C55" i="18" s="1"/>
  <c r="F54" i="18"/>
  <c r="G54" i="18" s="1"/>
  <c r="J54" i="18"/>
  <c r="J52" i="17"/>
  <c r="I52" i="17"/>
  <c r="C53" i="17" s="1"/>
  <c r="F52" i="17"/>
  <c r="G52" i="17" s="1"/>
  <c r="A113" i="17"/>
  <c r="D112" i="17"/>
  <c r="B112" i="17"/>
  <c r="B110" i="16"/>
  <c r="D110" i="16"/>
  <c r="A111" i="16"/>
  <c r="I50" i="16"/>
  <c r="C51" i="16" s="1"/>
  <c r="A141" i="18" l="1"/>
  <c r="D140" i="18"/>
  <c r="B140" i="18"/>
  <c r="H55" i="18"/>
  <c r="E55" i="18"/>
  <c r="E53" i="17"/>
  <c r="H53" i="17"/>
  <c r="E51" i="16"/>
  <c r="H51" i="16"/>
  <c r="B113" i="17"/>
  <c r="A114" i="17"/>
  <c r="D113" i="17"/>
  <c r="B111" i="16"/>
  <c r="D111" i="16"/>
  <c r="A112" i="16"/>
  <c r="F51" i="16"/>
  <c r="G51" i="16" s="1"/>
  <c r="A142" i="18" l="1"/>
  <c r="D141" i="18"/>
  <c r="B141" i="18"/>
  <c r="J55" i="18"/>
  <c r="F55" i="18"/>
  <c r="G55" i="18" s="1"/>
  <c r="I55" i="18"/>
  <c r="C56" i="18" s="1"/>
  <c r="I53" i="17"/>
  <c r="C54" i="17" s="1"/>
  <c r="F53" i="17"/>
  <c r="G53" i="17" s="1"/>
  <c r="J53" i="17"/>
  <c r="J51" i="16"/>
  <c r="A115" i="17"/>
  <c r="B114" i="17"/>
  <c r="D114" i="17"/>
  <c r="B112" i="16"/>
  <c r="A113" i="16"/>
  <c r="D112" i="16"/>
  <c r="I51" i="16"/>
  <c r="C52" i="16" s="1"/>
  <c r="A143" i="18" l="1"/>
  <c r="D142" i="18"/>
  <c r="B142" i="18"/>
  <c r="E56" i="18"/>
  <c r="H56" i="18"/>
  <c r="E54" i="17"/>
  <c r="H54" i="17"/>
  <c r="B115" i="17"/>
  <c r="D115" i="17"/>
  <c r="A116" i="17"/>
  <c r="B113" i="16"/>
  <c r="D113" i="16"/>
  <c r="A114" i="16"/>
  <c r="H52" i="16"/>
  <c r="E52" i="16"/>
  <c r="F52" i="16"/>
  <c r="G52" i="16" s="1"/>
  <c r="J52" i="16"/>
  <c r="A144" i="18" l="1"/>
  <c r="D143" i="18"/>
  <c r="B143" i="18"/>
  <c r="F56" i="18"/>
  <c r="G56" i="18" s="1"/>
  <c r="I56" i="18"/>
  <c r="C57" i="18" s="1"/>
  <c r="J56" i="18"/>
  <c r="I54" i="17"/>
  <c r="C55" i="17" s="1"/>
  <c r="F54" i="17"/>
  <c r="G54" i="17" s="1"/>
  <c r="J54" i="17"/>
  <c r="B116" i="17"/>
  <c r="D116" i="17"/>
  <c r="A117" i="17"/>
  <c r="D114" i="16"/>
  <c r="B114" i="16"/>
  <c r="A115" i="16"/>
  <c r="I52" i="16"/>
  <c r="C53" i="16" s="1"/>
  <c r="A145" i="18" l="1"/>
  <c r="D144" i="18"/>
  <c r="B144" i="18"/>
  <c r="E57" i="18"/>
  <c r="H57" i="18"/>
  <c r="H55" i="17"/>
  <c r="E55" i="17"/>
  <c r="B117" i="17"/>
  <c r="D117" i="17"/>
  <c r="A118" i="17"/>
  <c r="A116" i="16"/>
  <c r="D115" i="16"/>
  <c r="B115" i="16"/>
  <c r="H53" i="16"/>
  <c r="E53" i="16"/>
  <c r="A146" i="18" l="1"/>
  <c r="D145" i="18"/>
  <c r="B145" i="18"/>
  <c r="F57" i="18"/>
  <c r="G57" i="18" s="1"/>
  <c r="I57" i="18"/>
  <c r="C58" i="18" s="1"/>
  <c r="J57" i="18"/>
  <c r="J55" i="17"/>
  <c r="I55" i="17"/>
  <c r="C56" i="17" s="1"/>
  <c r="F55" i="17"/>
  <c r="G55" i="17" s="1"/>
  <c r="A119" i="17"/>
  <c r="D118" i="17"/>
  <c r="B118" i="17"/>
  <c r="D116" i="16"/>
  <c r="B116" i="16"/>
  <c r="A117" i="16"/>
  <c r="J53" i="16"/>
  <c r="F53" i="16"/>
  <c r="G53" i="16" s="1"/>
  <c r="A147" i="18" l="1"/>
  <c r="D146" i="18"/>
  <c r="B146" i="18"/>
  <c r="E58" i="18"/>
  <c r="H58" i="18"/>
  <c r="E56" i="17"/>
  <c r="H56" i="17"/>
  <c r="D119" i="17"/>
  <c r="B119" i="17"/>
  <c r="A120" i="17"/>
  <c r="B117" i="16"/>
  <c r="A118" i="16"/>
  <c r="D117" i="16"/>
  <c r="I53" i="16"/>
  <c r="C54" i="16" s="1"/>
  <c r="A148" i="18" l="1"/>
  <c r="D147" i="18"/>
  <c r="B147" i="18"/>
  <c r="I58" i="18"/>
  <c r="C59" i="18" s="1"/>
  <c r="F58" i="18"/>
  <c r="G58" i="18" s="1"/>
  <c r="J58" i="18"/>
  <c r="I56" i="17"/>
  <c r="C57" i="17" s="1"/>
  <c r="F56" i="17"/>
  <c r="G56" i="17" s="1"/>
  <c r="J56" i="17"/>
  <c r="A121" i="17"/>
  <c r="B120" i="17"/>
  <c r="D120" i="17"/>
  <c r="B118" i="16"/>
  <c r="A119" i="16"/>
  <c r="D118" i="16"/>
  <c r="H54" i="16"/>
  <c r="E54" i="16"/>
  <c r="A149" i="18" l="1"/>
  <c r="D148" i="18"/>
  <c r="B148" i="18"/>
  <c r="E59" i="18"/>
  <c r="H59" i="18"/>
  <c r="H57" i="17"/>
  <c r="E57" i="17"/>
  <c r="B121" i="17"/>
  <c r="D121" i="17"/>
  <c r="A122" i="17"/>
  <c r="A120" i="16"/>
  <c r="B119" i="16"/>
  <c r="D119" i="16"/>
  <c r="J54" i="16"/>
  <c r="F54" i="16"/>
  <c r="G54" i="16" s="1"/>
  <c r="A150" i="18" l="1"/>
  <c r="D149" i="18"/>
  <c r="B149" i="18"/>
  <c r="F59" i="18"/>
  <c r="G59" i="18" s="1"/>
  <c r="I59" i="18"/>
  <c r="C60" i="18" s="1"/>
  <c r="J59" i="18"/>
  <c r="J57" i="17"/>
  <c r="F57" i="17"/>
  <c r="G57" i="17" s="1"/>
  <c r="I57" i="17"/>
  <c r="C58" i="17" s="1"/>
  <c r="B122" i="17"/>
  <c r="A123" i="17"/>
  <c r="D122" i="17"/>
  <c r="D120" i="16"/>
  <c r="B120" i="16"/>
  <c r="A121" i="16"/>
  <c r="I54" i="16"/>
  <c r="C55" i="16" s="1"/>
  <c r="A151" i="18" l="1"/>
  <c r="D150" i="18"/>
  <c r="B150" i="18"/>
  <c r="E60" i="18"/>
  <c r="H60" i="18"/>
  <c r="H58" i="17"/>
  <c r="E58" i="17"/>
  <c r="B123" i="17"/>
  <c r="D123" i="17"/>
  <c r="A124" i="17"/>
  <c r="B121" i="16"/>
  <c r="D121" i="16"/>
  <c r="A122" i="16"/>
  <c r="H55" i="16"/>
  <c r="E55" i="16"/>
  <c r="A152" i="18" l="1"/>
  <c r="D151" i="18"/>
  <c r="B151" i="18"/>
  <c r="I60" i="18"/>
  <c r="C61" i="18" s="1"/>
  <c r="F60" i="18"/>
  <c r="G60" i="18" s="1"/>
  <c r="J60" i="18"/>
  <c r="J58" i="17"/>
  <c r="I58" i="17"/>
  <c r="C59" i="17" s="1"/>
  <c r="F58" i="17"/>
  <c r="G58" i="17" s="1"/>
  <c r="D124" i="17"/>
  <c r="A125" i="17"/>
  <c r="B124" i="17"/>
  <c r="B122" i="16"/>
  <c r="D122" i="16"/>
  <c r="A123" i="16"/>
  <c r="J55" i="16"/>
  <c r="F55" i="16"/>
  <c r="G55" i="16" s="1"/>
  <c r="A153" i="18" l="1"/>
  <c r="D152" i="18"/>
  <c r="B152" i="18"/>
  <c r="E61" i="18"/>
  <c r="H61" i="18"/>
  <c r="E59" i="17"/>
  <c r="H59" i="17"/>
  <c r="B125" i="17"/>
  <c r="A126" i="17"/>
  <c r="D125" i="17"/>
  <c r="B123" i="16"/>
  <c r="A124" i="16"/>
  <c r="D123" i="16"/>
  <c r="I55" i="16"/>
  <c r="C56" i="16" s="1"/>
  <c r="A154" i="18" l="1"/>
  <c r="D153" i="18"/>
  <c r="B153" i="18"/>
  <c r="F61" i="18"/>
  <c r="G61" i="18" s="1"/>
  <c r="I61" i="18"/>
  <c r="C62" i="18" s="1"/>
  <c r="J61" i="18"/>
  <c r="I59" i="17"/>
  <c r="C60" i="17" s="1"/>
  <c r="F59" i="17"/>
  <c r="G59" i="17" s="1"/>
  <c r="J59" i="17"/>
  <c r="B126" i="17"/>
  <c r="D126" i="17"/>
  <c r="A127" i="17"/>
  <c r="B124" i="16"/>
  <c r="D124" i="16"/>
  <c r="A125" i="16"/>
  <c r="H56" i="16"/>
  <c r="E56" i="16"/>
  <c r="A155" i="18" l="1"/>
  <c r="D154" i="18"/>
  <c r="B154" i="18"/>
  <c r="E62" i="18"/>
  <c r="H62" i="18"/>
  <c r="E60" i="17"/>
  <c r="H60" i="17"/>
  <c r="D127" i="17"/>
  <c r="A128" i="17"/>
  <c r="B127" i="17"/>
  <c r="D125" i="16"/>
  <c r="B125" i="16"/>
  <c r="A126" i="16"/>
  <c r="J56" i="16"/>
  <c r="F56" i="16"/>
  <c r="G56" i="16" s="1"/>
  <c r="A156" i="18" l="1"/>
  <c r="D155" i="18"/>
  <c r="B155" i="18"/>
  <c r="F62" i="18"/>
  <c r="G62" i="18" s="1"/>
  <c r="I62" i="18"/>
  <c r="C63" i="18" s="1"/>
  <c r="J62" i="18"/>
  <c r="F60" i="17"/>
  <c r="G60" i="17" s="1"/>
  <c r="I60" i="17"/>
  <c r="C61" i="17" s="1"/>
  <c r="J60" i="17"/>
  <c r="D128" i="17"/>
  <c r="B128" i="17"/>
  <c r="A129" i="17"/>
  <c r="B126" i="16"/>
  <c r="A127" i="16"/>
  <c r="D126" i="16"/>
  <c r="I56" i="16"/>
  <c r="C57" i="16" s="1"/>
  <c r="A157" i="18" l="1"/>
  <c r="D156" i="18"/>
  <c r="B156" i="18"/>
  <c r="E63" i="18"/>
  <c r="H63" i="18"/>
  <c r="E61" i="17"/>
  <c r="H61" i="17"/>
  <c r="B129" i="17"/>
  <c r="D129" i="17"/>
  <c r="A130" i="17"/>
  <c r="B127" i="16"/>
  <c r="D127" i="16"/>
  <c r="A128" i="16"/>
  <c r="H57" i="16"/>
  <c r="E57" i="16"/>
  <c r="A158" i="18" l="1"/>
  <c r="D157" i="18"/>
  <c r="B157" i="18"/>
  <c r="F63" i="18"/>
  <c r="G63" i="18" s="1"/>
  <c r="I63" i="18"/>
  <c r="C64" i="18" s="1"/>
  <c r="J63" i="18"/>
  <c r="I61" i="17"/>
  <c r="C62" i="17" s="1"/>
  <c r="F61" i="17"/>
  <c r="G61" i="17" s="1"/>
  <c r="J61" i="17"/>
  <c r="B130" i="17"/>
  <c r="D130" i="17"/>
  <c r="A131" i="17"/>
  <c r="A129" i="16"/>
  <c r="B128" i="16"/>
  <c r="D128" i="16"/>
  <c r="J57" i="16"/>
  <c r="F57" i="16"/>
  <c r="G57" i="16" s="1"/>
  <c r="A159" i="18" l="1"/>
  <c r="D158" i="18"/>
  <c r="B158" i="18"/>
  <c r="E64" i="18"/>
  <c r="H64" i="18"/>
  <c r="E62" i="17"/>
  <c r="H62" i="17"/>
  <c r="D131" i="17"/>
  <c r="A132" i="17"/>
  <c r="B131" i="17"/>
  <c r="A130" i="16"/>
  <c r="B129" i="16"/>
  <c r="D129" i="16"/>
  <c r="I57" i="16"/>
  <c r="C58" i="16" s="1"/>
  <c r="A160" i="18" l="1"/>
  <c r="D159" i="18"/>
  <c r="B159" i="18"/>
  <c r="I64" i="18"/>
  <c r="C65" i="18" s="1"/>
  <c r="F64" i="18"/>
  <c r="G64" i="18" s="1"/>
  <c r="J64" i="18"/>
  <c r="F62" i="17"/>
  <c r="G62" i="17" s="1"/>
  <c r="I62" i="17"/>
  <c r="C63" i="17" s="1"/>
  <c r="J62" i="17"/>
  <c r="B132" i="17"/>
  <c r="D132" i="17"/>
  <c r="A133" i="17"/>
  <c r="A131" i="16"/>
  <c r="B130" i="16"/>
  <c r="D130" i="16"/>
  <c r="H58" i="16"/>
  <c r="E58" i="16"/>
  <c r="A161" i="18" l="1"/>
  <c r="D160" i="18"/>
  <c r="B160" i="18"/>
  <c r="E65" i="18"/>
  <c r="H65" i="18"/>
  <c r="H63" i="17"/>
  <c r="E63" i="17"/>
  <c r="D133" i="17"/>
  <c r="A134" i="17"/>
  <c r="B133" i="17"/>
  <c r="A132" i="16"/>
  <c r="B131" i="16"/>
  <c r="D131" i="16"/>
  <c r="J58" i="16"/>
  <c r="F58" i="16"/>
  <c r="G58" i="16" s="1"/>
  <c r="A162" i="18" l="1"/>
  <c r="D161" i="18"/>
  <c r="B161" i="18"/>
  <c r="F65" i="18"/>
  <c r="G65" i="18" s="1"/>
  <c r="I65" i="18"/>
  <c r="C66" i="18" s="1"/>
  <c r="J65" i="18"/>
  <c r="J63" i="17"/>
  <c r="F63" i="17"/>
  <c r="G63" i="17" s="1"/>
  <c r="I63" i="17"/>
  <c r="C64" i="17" s="1"/>
  <c r="B134" i="17"/>
  <c r="D134" i="17"/>
  <c r="A135" i="17"/>
  <c r="D132" i="16"/>
  <c r="A133" i="16"/>
  <c r="B132" i="16"/>
  <c r="I58" i="16"/>
  <c r="C59" i="16" s="1"/>
  <c r="A163" i="18" l="1"/>
  <c r="D162" i="18"/>
  <c r="B162" i="18"/>
  <c r="E66" i="18"/>
  <c r="H66" i="18"/>
  <c r="H64" i="17"/>
  <c r="E64" i="17"/>
  <c r="B135" i="17"/>
  <c r="D135" i="17"/>
  <c r="A136" i="17"/>
  <c r="D133" i="16"/>
  <c r="A134" i="16"/>
  <c r="B133" i="16"/>
  <c r="E59" i="16"/>
  <c r="H59" i="16"/>
  <c r="J59" i="16"/>
  <c r="A164" i="18" l="1"/>
  <c r="D163" i="18"/>
  <c r="B163" i="18"/>
  <c r="I66" i="18"/>
  <c r="C67" i="18" s="1"/>
  <c r="F66" i="18"/>
  <c r="G66" i="18" s="1"/>
  <c r="J66" i="18"/>
  <c r="J64" i="17"/>
  <c r="F64" i="17"/>
  <c r="G64" i="17" s="1"/>
  <c r="I64" i="17"/>
  <c r="C65" i="17" s="1"/>
  <c r="A137" i="17"/>
  <c r="B136" i="17"/>
  <c r="D136" i="17"/>
  <c r="B134" i="16"/>
  <c r="D134" i="16"/>
  <c r="A135" i="16"/>
  <c r="F59" i="16"/>
  <c r="G59" i="16" s="1"/>
  <c r="A165" i="18" l="1"/>
  <c r="D164" i="18"/>
  <c r="B164" i="18"/>
  <c r="E67" i="18"/>
  <c r="H67" i="18"/>
  <c r="E65" i="17"/>
  <c r="H65" i="17"/>
  <c r="B137" i="17"/>
  <c r="A138" i="17"/>
  <c r="D137" i="17"/>
  <c r="D135" i="16"/>
  <c r="A136" i="16"/>
  <c r="B135" i="16"/>
  <c r="I59" i="16"/>
  <c r="C60" i="16" s="1"/>
  <c r="A166" i="18" l="1"/>
  <c r="D165" i="18"/>
  <c r="B165" i="18"/>
  <c r="F67" i="18"/>
  <c r="G67" i="18" s="1"/>
  <c r="I67" i="18"/>
  <c r="C68" i="18" s="1"/>
  <c r="J67" i="18"/>
  <c r="I65" i="17"/>
  <c r="C66" i="17" s="1"/>
  <c r="F65" i="17"/>
  <c r="G65" i="17" s="1"/>
  <c r="J65" i="17"/>
  <c r="A139" i="17"/>
  <c r="B138" i="17"/>
  <c r="D138" i="17"/>
  <c r="D136" i="16"/>
  <c r="B136" i="16"/>
  <c r="A137" i="16"/>
  <c r="E60" i="16"/>
  <c r="H60" i="16"/>
  <c r="B166" i="18" l="1"/>
  <c r="A167" i="18"/>
  <c r="D166" i="18"/>
  <c r="E68" i="18"/>
  <c r="H68" i="18"/>
  <c r="E66" i="17"/>
  <c r="H66" i="17"/>
  <c r="F60" i="16"/>
  <c r="G60" i="16" s="1"/>
  <c r="D139" i="17"/>
  <c r="A140" i="17"/>
  <c r="B139" i="17"/>
  <c r="D137" i="16"/>
  <c r="B137" i="16"/>
  <c r="A138" i="16"/>
  <c r="J60" i="16"/>
  <c r="A168" i="18" l="1"/>
  <c r="D167" i="18"/>
  <c r="B167" i="18"/>
  <c r="I68" i="18"/>
  <c r="C69" i="18" s="1"/>
  <c r="F68" i="18"/>
  <c r="G68" i="18" s="1"/>
  <c r="J68" i="18"/>
  <c r="F66" i="17"/>
  <c r="G66" i="17" s="1"/>
  <c r="I66" i="17"/>
  <c r="C67" i="17" s="1"/>
  <c r="J66" i="17"/>
  <c r="I60" i="16"/>
  <c r="C61" i="16" s="1"/>
  <c r="A141" i="17"/>
  <c r="B140" i="17"/>
  <c r="D140" i="17"/>
  <c r="A139" i="16"/>
  <c r="B138" i="16"/>
  <c r="D138" i="16"/>
  <c r="E61" i="16"/>
  <c r="H61" i="16"/>
  <c r="D168" i="18" l="1"/>
  <c r="B168" i="18"/>
  <c r="A169" i="18"/>
  <c r="E69" i="18"/>
  <c r="H69" i="18"/>
  <c r="E67" i="17"/>
  <c r="H67" i="17"/>
  <c r="D141" i="17"/>
  <c r="A142" i="17"/>
  <c r="B141" i="17"/>
  <c r="D139" i="16"/>
  <c r="A140" i="16"/>
  <c r="B139" i="16"/>
  <c r="F61" i="16"/>
  <c r="G61" i="16" s="1"/>
  <c r="J61" i="16"/>
  <c r="A170" i="18" l="1"/>
  <c r="D169" i="18"/>
  <c r="B169" i="18"/>
  <c r="F69" i="18"/>
  <c r="G69" i="18" s="1"/>
  <c r="I69" i="18"/>
  <c r="C70" i="18" s="1"/>
  <c r="J69" i="18"/>
  <c r="I67" i="17"/>
  <c r="C68" i="17" s="1"/>
  <c r="F67" i="17"/>
  <c r="G67" i="17" s="1"/>
  <c r="J67" i="17"/>
  <c r="A143" i="17"/>
  <c r="D142" i="17"/>
  <c r="B142" i="17"/>
  <c r="A141" i="16"/>
  <c r="B140" i="16"/>
  <c r="D140" i="16"/>
  <c r="I61" i="16"/>
  <c r="C62" i="16" s="1"/>
  <c r="A171" i="18" l="1"/>
  <c r="D170" i="18"/>
  <c r="B170" i="18"/>
  <c r="E70" i="18"/>
  <c r="H70" i="18"/>
  <c r="E68" i="17"/>
  <c r="H68" i="17"/>
  <c r="D143" i="17"/>
  <c r="A144" i="17"/>
  <c r="B143" i="17"/>
  <c r="D141" i="16"/>
  <c r="A142" i="16"/>
  <c r="B141" i="16"/>
  <c r="H62" i="16"/>
  <c r="E62" i="16"/>
  <c r="D171" i="18" l="1"/>
  <c r="B171" i="18"/>
  <c r="A172" i="18"/>
  <c r="F70" i="18"/>
  <c r="G70" i="18" s="1"/>
  <c r="I70" i="18"/>
  <c r="C71" i="18" s="1"/>
  <c r="J70" i="18"/>
  <c r="I68" i="17"/>
  <c r="C69" i="17" s="1"/>
  <c r="F68" i="17"/>
  <c r="G68" i="17" s="1"/>
  <c r="J68" i="17"/>
  <c r="A145" i="17"/>
  <c r="B144" i="17"/>
  <c r="D144" i="17"/>
  <c r="D142" i="16"/>
  <c r="A143" i="16"/>
  <c r="B142" i="16"/>
  <c r="J62" i="16"/>
  <c r="F62" i="16"/>
  <c r="G62" i="16" s="1"/>
  <c r="D172" i="18" l="1"/>
  <c r="B172" i="18"/>
  <c r="A173" i="18"/>
  <c r="E71" i="18"/>
  <c r="H71" i="18"/>
  <c r="H69" i="17"/>
  <c r="E69" i="17"/>
  <c r="A146" i="17"/>
  <c r="B145" i="17"/>
  <c r="D145" i="17"/>
  <c r="D143" i="16"/>
  <c r="B143" i="16"/>
  <c r="A144" i="16"/>
  <c r="I62" i="16"/>
  <c r="C63" i="16" s="1"/>
  <c r="A174" i="18" l="1"/>
  <c r="D173" i="18"/>
  <c r="B173" i="18"/>
  <c r="F71" i="18"/>
  <c r="G71" i="18" s="1"/>
  <c r="I71" i="18"/>
  <c r="C72" i="18" s="1"/>
  <c r="J71" i="18"/>
  <c r="J69" i="17"/>
  <c r="F69" i="17"/>
  <c r="G69" i="17" s="1"/>
  <c r="I69" i="17"/>
  <c r="C70" i="17" s="1"/>
  <c r="A147" i="17"/>
  <c r="B146" i="17"/>
  <c r="D146" i="17"/>
  <c r="D144" i="16"/>
  <c r="A145" i="16"/>
  <c r="B144" i="16"/>
  <c r="H63" i="16"/>
  <c r="E63" i="16"/>
  <c r="A175" i="18" l="1"/>
  <c r="D174" i="18"/>
  <c r="B174" i="18"/>
  <c r="E72" i="18"/>
  <c r="H72" i="18"/>
  <c r="E70" i="17"/>
  <c r="H70" i="17"/>
  <c r="D147" i="17"/>
  <c r="A148" i="17"/>
  <c r="B147" i="17"/>
  <c r="D145" i="16"/>
  <c r="A146" i="16"/>
  <c r="B145" i="16"/>
  <c r="J63" i="16"/>
  <c r="F63" i="16"/>
  <c r="G63" i="16" s="1"/>
  <c r="A176" i="18" l="1"/>
  <c r="D175" i="18"/>
  <c r="B175" i="18"/>
  <c r="F72" i="18"/>
  <c r="G72" i="18" s="1"/>
  <c r="I72" i="18"/>
  <c r="C73" i="18" s="1"/>
  <c r="J72" i="18"/>
  <c r="I70" i="17"/>
  <c r="C71" i="17" s="1"/>
  <c r="F70" i="17"/>
  <c r="G70" i="17" s="1"/>
  <c r="J70" i="17"/>
  <c r="D148" i="17"/>
  <c r="B148" i="17"/>
  <c r="A149" i="17"/>
  <c r="D146" i="16"/>
  <c r="A147" i="16"/>
  <c r="B146" i="16"/>
  <c r="I63" i="16"/>
  <c r="C64" i="16" s="1"/>
  <c r="A177" i="18" l="1"/>
  <c r="D176" i="18"/>
  <c r="B176" i="18"/>
  <c r="E73" i="18"/>
  <c r="H73" i="18"/>
  <c r="E71" i="17"/>
  <c r="H71" i="17"/>
  <c r="H64" i="16"/>
  <c r="E64" i="16"/>
  <c r="B149" i="17"/>
  <c r="A150" i="17"/>
  <c r="D149" i="17"/>
  <c r="A148" i="16"/>
  <c r="D147" i="16"/>
  <c r="B147" i="16"/>
  <c r="F64" i="16"/>
  <c r="G64" i="16" s="1"/>
  <c r="A178" i="18" l="1"/>
  <c r="D177" i="18"/>
  <c r="B177" i="18"/>
  <c r="I73" i="18"/>
  <c r="C74" i="18" s="1"/>
  <c r="F73" i="18"/>
  <c r="G73" i="18" s="1"/>
  <c r="J73" i="18"/>
  <c r="I71" i="17"/>
  <c r="C72" i="17" s="1"/>
  <c r="F71" i="17"/>
  <c r="G71" i="17" s="1"/>
  <c r="J71" i="17"/>
  <c r="J64" i="16"/>
  <c r="D150" i="17"/>
  <c r="B150" i="17"/>
  <c r="A151" i="17"/>
  <c r="D148" i="16"/>
  <c r="A149" i="16"/>
  <c r="B148" i="16"/>
  <c r="I64" i="16"/>
  <c r="C65" i="16" s="1"/>
  <c r="A179" i="18" l="1"/>
  <c r="D178" i="18"/>
  <c r="B178" i="18"/>
  <c r="E74" i="18"/>
  <c r="H74" i="18"/>
  <c r="H72" i="17"/>
  <c r="E72" i="17"/>
  <c r="B151" i="17"/>
  <c r="D151" i="17"/>
  <c r="A152" i="17"/>
  <c r="D149" i="16"/>
  <c r="B149" i="16"/>
  <c r="A150" i="16"/>
  <c r="H65" i="16"/>
  <c r="E65" i="16"/>
  <c r="B179" i="18" l="1"/>
  <c r="A180" i="18"/>
  <c r="D179" i="18"/>
  <c r="F74" i="18"/>
  <c r="G74" i="18" s="1"/>
  <c r="I74" i="18"/>
  <c r="C75" i="18" s="1"/>
  <c r="J74" i="18"/>
  <c r="J72" i="17"/>
  <c r="F72" i="17"/>
  <c r="G72" i="17" s="1"/>
  <c r="I72" i="17"/>
  <c r="C73" i="17" s="1"/>
  <c r="D152" i="17"/>
  <c r="A153" i="17"/>
  <c r="B152" i="17"/>
  <c r="B150" i="16"/>
  <c r="A151" i="16"/>
  <c r="D150" i="16"/>
  <c r="J65" i="16"/>
  <c r="F65" i="16"/>
  <c r="G65" i="16" s="1"/>
  <c r="I65" i="16"/>
  <c r="C66" i="16" s="1"/>
  <c r="A181" i="18" l="1"/>
  <c r="D180" i="18"/>
  <c r="B180" i="18"/>
  <c r="E75" i="18"/>
  <c r="H75" i="18"/>
  <c r="H73" i="17"/>
  <c r="E73" i="17"/>
  <c r="A154" i="17"/>
  <c r="B153" i="17"/>
  <c r="D153" i="17"/>
  <c r="A152" i="16"/>
  <c r="B151" i="16"/>
  <c r="D151" i="16"/>
  <c r="E66" i="16"/>
  <c r="H66" i="16"/>
  <c r="A182" i="18" l="1"/>
  <c r="D181" i="18"/>
  <c r="B181" i="18"/>
  <c r="F75" i="18"/>
  <c r="G75" i="18" s="1"/>
  <c r="I75" i="18"/>
  <c r="C76" i="18" s="1"/>
  <c r="J75" i="18"/>
  <c r="J73" i="17"/>
  <c r="F73" i="17"/>
  <c r="G73" i="17" s="1"/>
  <c r="I73" i="17"/>
  <c r="C74" i="17" s="1"/>
  <c r="B154" i="17"/>
  <c r="D154" i="17"/>
  <c r="A155" i="17"/>
  <c r="A153" i="16"/>
  <c r="B152" i="16"/>
  <c r="D152" i="16"/>
  <c r="F66" i="16"/>
  <c r="G66" i="16" s="1"/>
  <c r="I66" i="16"/>
  <c r="C67" i="16" s="1"/>
  <c r="J66" i="16"/>
  <c r="A183" i="18" l="1"/>
  <c r="D182" i="18"/>
  <c r="B182" i="18"/>
  <c r="E76" i="18"/>
  <c r="H76" i="18"/>
  <c r="H74" i="17"/>
  <c r="E74" i="17"/>
  <c r="A156" i="17"/>
  <c r="D155" i="17"/>
  <c r="B155" i="17"/>
  <c r="D153" i="16"/>
  <c r="B153" i="16"/>
  <c r="A154" i="16"/>
  <c r="E67" i="16"/>
  <c r="H67" i="16"/>
  <c r="B183" i="18" l="1"/>
  <c r="A184" i="18"/>
  <c r="D183" i="18"/>
  <c r="I76" i="18"/>
  <c r="C77" i="18" s="1"/>
  <c r="F76" i="18"/>
  <c r="G76" i="18" s="1"/>
  <c r="J76" i="18"/>
  <c r="J74" i="17"/>
  <c r="I74" i="17"/>
  <c r="C75" i="17" s="1"/>
  <c r="F74" i="17"/>
  <c r="G74" i="17" s="1"/>
  <c r="B156" i="17"/>
  <c r="D156" i="17"/>
  <c r="A157" i="17"/>
  <c r="A155" i="16"/>
  <c r="D154" i="16"/>
  <c r="B154" i="16"/>
  <c r="F67" i="16"/>
  <c r="G67" i="16" s="1"/>
  <c r="I67" i="16"/>
  <c r="C68" i="16" s="1"/>
  <c r="J67" i="16"/>
  <c r="D184" i="18" l="1"/>
  <c r="B184" i="18"/>
  <c r="A185" i="18"/>
  <c r="E77" i="18"/>
  <c r="H77" i="18"/>
  <c r="E75" i="17"/>
  <c r="H75" i="17"/>
  <c r="D157" i="17"/>
  <c r="A158" i="17"/>
  <c r="B157" i="17"/>
  <c r="A156" i="16"/>
  <c r="B155" i="16"/>
  <c r="D155" i="16"/>
  <c r="H68" i="16"/>
  <c r="E68" i="16"/>
  <c r="A186" i="18" l="1"/>
  <c r="D185" i="18"/>
  <c r="B185" i="18"/>
  <c r="I77" i="18"/>
  <c r="C78" i="18" s="1"/>
  <c r="F77" i="18"/>
  <c r="G77" i="18" s="1"/>
  <c r="J77" i="18"/>
  <c r="I75" i="17"/>
  <c r="C76" i="17" s="1"/>
  <c r="F75" i="17"/>
  <c r="G75" i="17" s="1"/>
  <c r="J75" i="17"/>
  <c r="D158" i="17"/>
  <c r="A159" i="17"/>
  <c r="B158" i="17"/>
  <c r="D156" i="16"/>
  <c r="A157" i="16"/>
  <c r="B156" i="16"/>
  <c r="J68" i="16"/>
  <c r="I68" i="16"/>
  <c r="C69" i="16" s="1"/>
  <c r="F68" i="16"/>
  <c r="G68" i="16" s="1"/>
  <c r="A187" i="18" l="1"/>
  <c r="D186" i="18"/>
  <c r="B186" i="18"/>
  <c r="E78" i="18"/>
  <c r="H78" i="18"/>
  <c r="E76" i="17"/>
  <c r="H76" i="17"/>
  <c r="D159" i="17"/>
  <c r="A160" i="17"/>
  <c r="B159" i="17"/>
  <c r="D157" i="16"/>
  <c r="A158" i="16"/>
  <c r="B157" i="16"/>
  <c r="H69" i="16"/>
  <c r="E69" i="16"/>
  <c r="B187" i="18" l="1"/>
  <c r="A188" i="18"/>
  <c r="D187" i="18"/>
  <c r="F78" i="18"/>
  <c r="G78" i="18" s="1"/>
  <c r="I78" i="18"/>
  <c r="C79" i="18" s="1"/>
  <c r="J78" i="18"/>
  <c r="I76" i="17"/>
  <c r="C77" i="17" s="1"/>
  <c r="F76" i="17"/>
  <c r="G76" i="17" s="1"/>
  <c r="J76" i="17"/>
  <c r="D160" i="17"/>
  <c r="A161" i="17"/>
  <c r="B160" i="17"/>
  <c r="D158" i="16"/>
  <c r="A159" i="16"/>
  <c r="B158" i="16"/>
  <c r="J69" i="16"/>
  <c r="I69" i="16"/>
  <c r="C70" i="16" s="1"/>
  <c r="F69" i="16"/>
  <c r="G69" i="16" s="1"/>
  <c r="B188" i="18" l="1"/>
  <c r="A189" i="18"/>
  <c r="D188" i="18"/>
  <c r="E79" i="18"/>
  <c r="H79" i="18"/>
  <c r="H77" i="17"/>
  <c r="E77" i="17"/>
  <c r="A162" i="17"/>
  <c r="D161" i="17"/>
  <c r="B161" i="17"/>
  <c r="D159" i="16"/>
  <c r="A160" i="16"/>
  <c r="B159" i="16"/>
  <c r="H70" i="16"/>
  <c r="E70" i="16"/>
  <c r="B189" i="18" l="1"/>
  <c r="A190" i="18"/>
  <c r="D189" i="18"/>
  <c r="I79" i="18"/>
  <c r="C80" i="18" s="1"/>
  <c r="F79" i="18"/>
  <c r="G79" i="18" s="1"/>
  <c r="J79" i="18"/>
  <c r="J77" i="17"/>
  <c r="F77" i="17"/>
  <c r="G77" i="17" s="1"/>
  <c r="I77" i="17"/>
  <c r="C78" i="17" s="1"/>
  <c r="B162" i="17"/>
  <c r="D162" i="17"/>
  <c r="A163" i="17"/>
  <c r="B160" i="16"/>
  <c r="A161" i="16"/>
  <c r="D160" i="16"/>
  <c r="J70" i="16"/>
  <c r="I70" i="16"/>
  <c r="C71" i="16" s="1"/>
  <c r="F70" i="16"/>
  <c r="G70" i="16" s="1"/>
  <c r="B190" i="18" l="1"/>
  <c r="A191" i="18"/>
  <c r="D190" i="18"/>
  <c r="E80" i="18"/>
  <c r="H80" i="18"/>
  <c r="H78" i="17"/>
  <c r="E78" i="17"/>
  <c r="A164" i="17"/>
  <c r="D163" i="17"/>
  <c r="B163" i="17"/>
  <c r="D161" i="16"/>
  <c r="A162" i="16"/>
  <c r="B161" i="16"/>
  <c r="E71" i="16"/>
  <c r="H71" i="16"/>
  <c r="B191" i="18" l="1"/>
  <c r="A192" i="18"/>
  <c r="D191" i="18"/>
  <c r="F80" i="18"/>
  <c r="G80" i="18" s="1"/>
  <c r="I80" i="18"/>
  <c r="C81" i="18" s="1"/>
  <c r="J80" i="18"/>
  <c r="J78" i="17"/>
  <c r="I78" i="17"/>
  <c r="C79" i="17" s="1"/>
  <c r="F78" i="17"/>
  <c r="G78" i="17" s="1"/>
  <c r="A165" i="17"/>
  <c r="B164" i="17"/>
  <c r="D164" i="17"/>
  <c r="D162" i="16"/>
  <c r="A163" i="16"/>
  <c r="B162" i="16"/>
  <c r="I71" i="16"/>
  <c r="C72" i="16" s="1"/>
  <c r="F71" i="16"/>
  <c r="G71" i="16" s="1"/>
  <c r="J71" i="16"/>
  <c r="A193" i="18" l="1"/>
  <c r="D192" i="18"/>
  <c r="B192" i="18"/>
  <c r="E81" i="18"/>
  <c r="H81" i="18"/>
  <c r="H79" i="17"/>
  <c r="E79" i="17"/>
  <c r="A166" i="17"/>
  <c r="B165" i="17"/>
  <c r="D165" i="17"/>
  <c r="D163" i="16"/>
  <c r="B163" i="16"/>
  <c r="A164" i="16"/>
  <c r="E72" i="16"/>
  <c r="H72" i="16"/>
  <c r="B193" i="18" l="1"/>
  <c r="D193" i="18"/>
  <c r="A194" i="18"/>
  <c r="I81" i="18"/>
  <c r="C82" i="18" s="1"/>
  <c r="F81" i="18"/>
  <c r="G81" i="18" s="1"/>
  <c r="J81" i="18"/>
  <c r="J79" i="17"/>
  <c r="I79" i="17"/>
  <c r="C80" i="17" s="1"/>
  <c r="F79" i="17"/>
  <c r="G79" i="17" s="1"/>
  <c r="A167" i="17"/>
  <c r="B166" i="17"/>
  <c r="D166" i="17"/>
  <c r="D164" i="16"/>
  <c r="A165" i="16"/>
  <c r="B164" i="16"/>
  <c r="F72" i="16"/>
  <c r="G72" i="16" s="1"/>
  <c r="I72" i="16"/>
  <c r="C73" i="16" s="1"/>
  <c r="J72" i="16"/>
  <c r="B194" i="18" l="1"/>
  <c r="D194" i="18"/>
  <c r="A195" i="18"/>
  <c r="E82" i="18"/>
  <c r="H82" i="18"/>
  <c r="E80" i="17"/>
  <c r="H80" i="17"/>
  <c r="D167" i="17"/>
  <c r="A168" i="17"/>
  <c r="B167" i="17"/>
  <c r="B165" i="16"/>
  <c r="A166" i="16"/>
  <c r="D165" i="16"/>
  <c r="E73" i="16"/>
  <c r="H73" i="16"/>
  <c r="B195" i="18" l="1"/>
  <c r="A196" i="18"/>
  <c r="D195" i="18"/>
  <c r="F82" i="18"/>
  <c r="G82" i="18" s="1"/>
  <c r="I82" i="18"/>
  <c r="C83" i="18" s="1"/>
  <c r="J82" i="18"/>
  <c r="F80" i="17"/>
  <c r="G80" i="17" s="1"/>
  <c r="I80" i="17"/>
  <c r="C81" i="17" s="1"/>
  <c r="J80" i="17"/>
  <c r="A169" i="17"/>
  <c r="D168" i="17"/>
  <c r="B168" i="17"/>
  <c r="A167" i="16"/>
  <c r="B166" i="16"/>
  <c r="D166" i="16"/>
  <c r="F73" i="16"/>
  <c r="G73" i="16" s="1"/>
  <c r="I73" i="16"/>
  <c r="C74" i="16" s="1"/>
  <c r="J73" i="16"/>
  <c r="B196" i="18" l="1"/>
  <c r="A197" i="18"/>
  <c r="D196" i="18"/>
  <c r="E83" i="18"/>
  <c r="H83" i="18"/>
  <c r="H81" i="17"/>
  <c r="E81" i="17"/>
  <c r="A170" i="17"/>
  <c r="B169" i="17"/>
  <c r="D169" i="17"/>
  <c r="D167" i="16"/>
  <c r="A168" i="16"/>
  <c r="B167" i="16"/>
  <c r="E74" i="16"/>
  <c r="H74" i="16"/>
  <c r="B197" i="18" l="1"/>
  <c r="D197" i="18"/>
  <c r="A198" i="18"/>
  <c r="I83" i="18"/>
  <c r="C84" i="18" s="1"/>
  <c r="F83" i="18"/>
  <c r="G83" i="18" s="1"/>
  <c r="J83" i="18"/>
  <c r="J81" i="17"/>
  <c r="I81" i="17"/>
  <c r="C82" i="17" s="1"/>
  <c r="F81" i="17"/>
  <c r="G81" i="17" s="1"/>
  <c r="D170" i="17"/>
  <c r="A171" i="17"/>
  <c r="B170" i="17"/>
  <c r="D168" i="16"/>
  <c r="A169" i="16"/>
  <c r="B168" i="16"/>
  <c r="I74" i="16"/>
  <c r="C75" i="16" s="1"/>
  <c r="F74" i="16"/>
  <c r="G74" i="16" s="1"/>
  <c r="J74" i="16"/>
  <c r="D198" i="18" l="1"/>
  <c r="B198" i="18"/>
  <c r="A199" i="18"/>
  <c r="E84" i="18"/>
  <c r="H84" i="18"/>
  <c r="H82" i="17"/>
  <c r="E82" i="17"/>
  <c r="A172" i="17"/>
  <c r="D171" i="17"/>
  <c r="B171" i="17"/>
  <c r="D169" i="16"/>
  <c r="A170" i="16"/>
  <c r="B169" i="16"/>
  <c r="E75" i="16"/>
  <c r="H75" i="16"/>
  <c r="D199" i="18" l="1"/>
  <c r="B199" i="18"/>
  <c r="A200" i="18"/>
  <c r="I84" i="18"/>
  <c r="C85" i="18" s="1"/>
  <c r="F84" i="18"/>
  <c r="G84" i="18" s="1"/>
  <c r="J84" i="18"/>
  <c r="J82" i="17"/>
  <c r="F82" i="17"/>
  <c r="G82" i="17" s="1"/>
  <c r="I82" i="17"/>
  <c r="C83" i="17" s="1"/>
  <c r="A173" i="17"/>
  <c r="D172" i="17"/>
  <c r="B172" i="17"/>
  <c r="A171" i="16"/>
  <c r="D170" i="16"/>
  <c r="B170" i="16"/>
  <c r="I75" i="16"/>
  <c r="C76" i="16" s="1"/>
  <c r="F75" i="16"/>
  <c r="G75" i="16" s="1"/>
  <c r="J75" i="16"/>
  <c r="B200" i="18" l="1"/>
  <c r="A201" i="18"/>
  <c r="D200" i="18"/>
  <c r="E85" i="18"/>
  <c r="H85" i="18"/>
  <c r="E83" i="17"/>
  <c r="H83" i="17"/>
  <c r="B173" i="17"/>
  <c r="A174" i="17"/>
  <c r="D173" i="17"/>
  <c r="A172" i="16"/>
  <c r="B171" i="16"/>
  <c r="D171" i="16"/>
  <c r="E76" i="16"/>
  <c r="H76" i="16"/>
  <c r="B201" i="18" l="1"/>
  <c r="A202" i="18"/>
  <c r="D201" i="18"/>
  <c r="F85" i="18"/>
  <c r="G85" i="18" s="1"/>
  <c r="I85" i="18"/>
  <c r="C86" i="18" s="1"/>
  <c r="J85" i="18"/>
  <c r="I83" i="17"/>
  <c r="C84" i="17" s="1"/>
  <c r="F83" i="17"/>
  <c r="G83" i="17" s="1"/>
  <c r="J83" i="17"/>
  <c r="A175" i="17"/>
  <c r="B174" i="17"/>
  <c r="D174" i="17"/>
  <c r="A173" i="16"/>
  <c r="B172" i="16"/>
  <c r="D172" i="16"/>
  <c r="I76" i="16"/>
  <c r="C77" i="16" s="1"/>
  <c r="F76" i="16"/>
  <c r="G76" i="16" s="1"/>
  <c r="J76" i="16"/>
  <c r="B202" i="18" l="1"/>
  <c r="A203" i="18"/>
  <c r="D202" i="18"/>
  <c r="E86" i="18"/>
  <c r="H86" i="18"/>
  <c r="E84" i="17"/>
  <c r="H84" i="17"/>
  <c r="A176" i="17"/>
  <c r="D175" i="17"/>
  <c r="B175" i="17"/>
  <c r="D173" i="16"/>
  <c r="A174" i="16"/>
  <c r="B173" i="16"/>
  <c r="E77" i="16"/>
  <c r="H77" i="16"/>
  <c r="A204" i="18" l="1"/>
  <c r="D203" i="18"/>
  <c r="B203" i="18"/>
  <c r="I86" i="18"/>
  <c r="C87" i="18" s="1"/>
  <c r="F86" i="18"/>
  <c r="G86" i="18" s="1"/>
  <c r="J86" i="18"/>
  <c r="I84" i="17"/>
  <c r="C85" i="17" s="1"/>
  <c r="F84" i="17"/>
  <c r="G84" i="17" s="1"/>
  <c r="J84" i="17"/>
  <c r="B176" i="17"/>
  <c r="D176" i="17"/>
  <c r="A177" i="17"/>
  <c r="A175" i="16"/>
  <c r="B174" i="16"/>
  <c r="D174" i="16"/>
  <c r="F77" i="16"/>
  <c r="G77" i="16" s="1"/>
  <c r="I77" i="16"/>
  <c r="C78" i="16" s="1"/>
  <c r="J77" i="16"/>
  <c r="A205" i="18" l="1"/>
  <c r="D204" i="18"/>
  <c r="B204" i="18"/>
  <c r="E87" i="18"/>
  <c r="H87" i="18"/>
  <c r="E85" i="17"/>
  <c r="H85" i="17"/>
  <c r="D177" i="17"/>
  <c r="A178" i="17"/>
  <c r="B177" i="17"/>
  <c r="B175" i="16"/>
  <c r="D175" i="16"/>
  <c r="A176" i="16"/>
  <c r="E78" i="16"/>
  <c r="H78" i="16"/>
  <c r="A206" i="18" l="1"/>
  <c r="D205" i="18"/>
  <c r="B205" i="18"/>
  <c r="I87" i="18"/>
  <c r="C88" i="18" s="1"/>
  <c r="F87" i="18"/>
  <c r="G87" i="18" s="1"/>
  <c r="J87" i="18"/>
  <c r="I85" i="17"/>
  <c r="C86" i="17" s="1"/>
  <c r="F85" i="17"/>
  <c r="G85" i="17" s="1"/>
  <c r="J85" i="17"/>
  <c r="B178" i="17"/>
  <c r="D178" i="17"/>
  <c r="A179" i="17"/>
  <c r="A177" i="16"/>
  <c r="D176" i="16"/>
  <c r="B176" i="16"/>
  <c r="I78" i="16"/>
  <c r="C79" i="16" s="1"/>
  <c r="F78" i="16"/>
  <c r="G78" i="16" s="1"/>
  <c r="J78" i="16"/>
  <c r="A207" i="18" l="1"/>
  <c r="D206" i="18"/>
  <c r="B206" i="18"/>
  <c r="E88" i="18"/>
  <c r="H88" i="18"/>
  <c r="E86" i="17"/>
  <c r="H86" i="17"/>
  <c r="B179" i="17"/>
  <c r="D179" i="17"/>
  <c r="A180" i="17"/>
  <c r="B177" i="16"/>
  <c r="D177" i="16"/>
  <c r="A178" i="16"/>
  <c r="E79" i="16"/>
  <c r="H79" i="16"/>
  <c r="A208" i="18" l="1"/>
  <c r="D207" i="18"/>
  <c r="B207" i="18"/>
  <c r="I88" i="18"/>
  <c r="C89" i="18" s="1"/>
  <c r="F88" i="18"/>
  <c r="G88" i="18" s="1"/>
  <c r="J88" i="18"/>
  <c r="F86" i="17"/>
  <c r="G86" i="17" s="1"/>
  <c r="I86" i="17"/>
  <c r="C87" i="17" s="1"/>
  <c r="J86" i="17"/>
  <c r="B180" i="17"/>
  <c r="D180" i="17"/>
  <c r="A181" i="17"/>
  <c r="A179" i="16"/>
  <c r="B178" i="16"/>
  <c r="D178" i="16"/>
  <c r="F79" i="16"/>
  <c r="G79" i="16" s="1"/>
  <c r="I79" i="16"/>
  <c r="C80" i="16" s="1"/>
  <c r="J79" i="16"/>
  <c r="A209" i="18" l="1"/>
  <c r="D208" i="18"/>
  <c r="B208" i="18"/>
  <c r="E89" i="18"/>
  <c r="H89" i="18"/>
  <c r="E87" i="17"/>
  <c r="H87" i="17"/>
  <c r="B181" i="17"/>
  <c r="D181" i="17"/>
  <c r="A182" i="17"/>
  <c r="D179" i="16"/>
  <c r="A180" i="16"/>
  <c r="B179" i="16"/>
  <c r="E80" i="16"/>
  <c r="H80" i="16"/>
  <c r="A210" i="18" l="1"/>
  <c r="D209" i="18"/>
  <c r="B209" i="18"/>
  <c r="I89" i="18"/>
  <c r="C90" i="18" s="1"/>
  <c r="F89" i="18"/>
  <c r="G89" i="18" s="1"/>
  <c r="J89" i="18"/>
  <c r="I87" i="17"/>
  <c r="C88" i="17" s="1"/>
  <c r="F87" i="17"/>
  <c r="G87" i="17" s="1"/>
  <c r="J87" i="17"/>
  <c r="B182" i="17"/>
  <c r="D182" i="17"/>
  <c r="A183" i="17"/>
  <c r="D180" i="16"/>
  <c r="A181" i="16"/>
  <c r="B180" i="16"/>
  <c r="F80" i="16"/>
  <c r="G80" i="16" s="1"/>
  <c r="I80" i="16"/>
  <c r="C81" i="16" s="1"/>
  <c r="J80" i="16"/>
  <c r="D210" i="18" l="1"/>
  <c r="A211" i="18"/>
  <c r="B210" i="18"/>
  <c r="E90" i="18"/>
  <c r="H90" i="18"/>
  <c r="H88" i="17"/>
  <c r="E88" i="17"/>
  <c r="B183" i="17"/>
  <c r="D183" i="17"/>
  <c r="A184" i="17"/>
  <c r="D181" i="16"/>
  <c r="B181" i="16"/>
  <c r="A182" i="16"/>
  <c r="E81" i="16"/>
  <c r="H81" i="16"/>
  <c r="A212" i="18" l="1"/>
  <c r="D211" i="18"/>
  <c r="B211" i="18"/>
  <c r="I90" i="18"/>
  <c r="C91" i="18" s="1"/>
  <c r="F90" i="18"/>
  <c r="G90" i="18" s="1"/>
  <c r="J90" i="18"/>
  <c r="J88" i="17"/>
  <c r="I88" i="17"/>
  <c r="C89" i="17" s="1"/>
  <c r="F88" i="17"/>
  <c r="G88" i="17" s="1"/>
  <c r="D184" i="17"/>
  <c r="A185" i="17"/>
  <c r="B184" i="17"/>
  <c r="D182" i="16"/>
  <c r="A183" i="16"/>
  <c r="B182" i="16"/>
  <c r="I81" i="16"/>
  <c r="C82" i="16" s="1"/>
  <c r="F81" i="16"/>
  <c r="G81" i="16" s="1"/>
  <c r="J81" i="16"/>
  <c r="A213" i="18" l="1"/>
  <c r="D212" i="18"/>
  <c r="B212" i="18"/>
  <c r="E91" i="18"/>
  <c r="H91" i="18"/>
  <c r="E89" i="17"/>
  <c r="H89" i="17"/>
  <c r="B185" i="17"/>
  <c r="D185" i="17"/>
  <c r="A186" i="17"/>
  <c r="D183" i="16"/>
  <c r="A184" i="16"/>
  <c r="B183" i="16"/>
  <c r="E82" i="16"/>
  <c r="H82" i="16"/>
  <c r="A214" i="18" l="1"/>
  <c r="D213" i="18"/>
  <c r="B213" i="18"/>
  <c r="I91" i="18"/>
  <c r="C92" i="18" s="1"/>
  <c r="F91" i="18"/>
  <c r="G91" i="18" s="1"/>
  <c r="J91" i="18"/>
  <c r="I89" i="17"/>
  <c r="C90" i="17" s="1"/>
  <c r="F89" i="17"/>
  <c r="G89" i="17" s="1"/>
  <c r="J89" i="17"/>
  <c r="B186" i="17"/>
  <c r="D186" i="17"/>
  <c r="A187" i="17"/>
  <c r="A185" i="16"/>
  <c r="D184" i="16"/>
  <c r="B184" i="16"/>
  <c r="I82" i="16"/>
  <c r="C83" i="16" s="1"/>
  <c r="F82" i="16"/>
  <c r="G82" i="16" s="1"/>
  <c r="J82" i="16"/>
  <c r="A215" i="18" l="1"/>
  <c r="D214" i="18"/>
  <c r="B214" i="18"/>
  <c r="H92" i="18"/>
  <c r="E92" i="18"/>
  <c r="H90" i="17"/>
  <c r="E90" i="17"/>
  <c r="B187" i="17"/>
  <c r="D187" i="17"/>
  <c r="A188" i="17"/>
  <c r="D185" i="16"/>
  <c r="A186" i="16"/>
  <c r="B185" i="16"/>
  <c r="E83" i="16"/>
  <c r="H83" i="16"/>
  <c r="A216" i="18" l="1"/>
  <c r="D215" i="18"/>
  <c r="B215" i="18"/>
  <c r="J92" i="18"/>
  <c r="I92" i="18"/>
  <c r="C93" i="18" s="1"/>
  <c r="F92" i="18"/>
  <c r="G92" i="18" s="1"/>
  <c r="J90" i="17"/>
  <c r="F90" i="17"/>
  <c r="G90" i="17" s="1"/>
  <c r="I90" i="17"/>
  <c r="C91" i="17" s="1"/>
  <c r="D188" i="17"/>
  <c r="B188" i="17"/>
  <c r="A189" i="17"/>
  <c r="D186" i="16"/>
  <c r="A187" i="16"/>
  <c r="B186" i="16"/>
  <c r="F83" i="16"/>
  <c r="G83" i="16" s="1"/>
  <c r="I83" i="16"/>
  <c r="C84" i="16" s="1"/>
  <c r="J83" i="16"/>
  <c r="B216" i="18" l="1"/>
  <c r="A217" i="18"/>
  <c r="D216" i="18"/>
  <c r="E93" i="18"/>
  <c r="H93" i="18"/>
  <c r="E91" i="17"/>
  <c r="H91" i="17"/>
  <c r="B189" i="17"/>
  <c r="D189" i="17"/>
  <c r="A190" i="17"/>
  <c r="A188" i="16"/>
  <c r="D187" i="16"/>
  <c r="B187" i="16"/>
  <c r="E84" i="16"/>
  <c r="H84" i="16"/>
  <c r="A218" i="18" l="1"/>
  <c r="D217" i="18"/>
  <c r="B217" i="18"/>
  <c r="F93" i="18"/>
  <c r="G93" i="18" s="1"/>
  <c r="I93" i="18"/>
  <c r="C94" i="18" s="1"/>
  <c r="J93" i="18"/>
  <c r="F91" i="17"/>
  <c r="G91" i="17" s="1"/>
  <c r="I91" i="17"/>
  <c r="C92" i="17" s="1"/>
  <c r="J91" i="17"/>
  <c r="D190" i="17"/>
  <c r="A191" i="17"/>
  <c r="B190" i="17"/>
  <c r="A189" i="16"/>
  <c r="D188" i="16"/>
  <c r="B188" i="16"/>
  <c r="F84" i="16"/>
  <c r="G84" i="16" s="1"/>
  <c r="I84" i="16"/>
  <c r="C85" i="16" s="1"/>
  <c r="J84" i="16"/>
  <c r="A219" i="18" l="1"/>
  <c r="D218" i="18"/>
  <c r="B218" i="18"/>
  <c r="E94" i="18"/>
  <c r="H94" i="18"/>
  <c r="E92" i="17"/>
  <c r="H92" i="17"/>
  <c r="D191" i="17"/>
  <c r="B191" i="17"/>
  <c r="A192" i="17"/>
  <c r="A190" i="16"/>
  <c r="D189" i="16"/>
  <c r="B189" i="16"/>
  <c r="E85" i="16"/>
  <c r="H85" i="16"/>
  <c r="A220" i="18" l="1"/>
  <c r="D219" i="18"/>
  <c r="B219" i="18"/>
  <c r="I94" i="18"/>
  <c r="C95" i="18" s="1"/>
  <c r="F94" i="18"/>
  <c r="G94" i="18" s="1"/>
  <c r="J94" i="18"/>
  <c r="F92" i="17"/>
  <c r="G92" i="17" s="1"/>
  <c r="I92" i="17"/>
  <c r="C93" i="17" s="1"/>
  <c r="J92" i="17"/>
  <c r="A193" i="17"/>
  <c r="B192" i="17"/>
  <c r="D192" i="17"/>
  <c r="A191" i="16"/>
  <c r="D190" i="16"/>
  <c r="B190" i="16"/>
  <c r="I85" i="16"/>
  <c r="C86" i="16" s="1"/>
  <c r="F85" i="16"/>
  <c r="G85" i="16" s="1"/>
  <c r="J85" i="16"/>
  <c r="A221" i="18" l="1"/>
  <c r="D220" i="18"/>
  <c r="B220" i="18"/>
  <c r="E95" i="18"/>
  <c r="H95" i="18"/>
  <c r="E93" i="17"/>
  <c r="H93" i="17"/>
  <c r="D193" i="17"/>
  <c r="A194" i="17"/>
  <c r="B193" i="17"/>
  <c r="A192" i="16"/>
  <c r="B191" i="16"/>
  <c r="D191" i="16"/>
  <c r="E86" i="16"/>
  <c r="H86" i="16"/>
  <c r="A222" i="18" l="1"/>
  <c r="D221" i="18"/>
  <c r="B221" i="18"/>
  <c r="I95" i="18"/>
  <c r="C96" i="18" s="1"/>
  <c r="F95" i="18"/>
  <c r="G95" i="18" s="1"/>
  <c r="J95" i="18"/>
  <c r="I93" i="17"/>
  <c r="C94" i="17" s="1"/>
  <c r="F93" i="17"/>
  <c r="G93" i="17" s="1"/>
  <c r="J93" i="17"/>
  <c r="B194" i="17"/>
  <c r="D194" i="17"/>
  <c r="A195" i="17"/>
  <c r="A193" i="16"/>
  <c r="D192" i="16"/>
  <c r="B192" i="16"/>
  <c r="F86" i="16"/>
  <c r="G86" i="16" s="1"/>
  <c r="I86" i="16"/>
  <c r="C87" i="16" s="1"/>
  <c r="J86" i="16"/>
  <c r="A223" i="18" l="1"/>
  <c r="D222" i="18"/>
  <c r="B222" i="18"/>
  <c r="E96" i="18"/>
  <c r="H96" i="18"/>
  <c r="E94" i="17"/>
  <c r="H94" i="17"/>
  <c r="D195" i="17"/>
  <c r="A196" i="17"/>
  <c r="B195" i="17"/>
  <c r="A194" i="16"/>
  <c r="B193" i="16"/>
  <c r="D193" i="16"/>
  <c r="E87" i="16"/>
  <c r="H87" i="16"/>
  <c r="A224" i="18" l="1"/>
  <c r="D223" i="18"/>
  <c r="B223" i="18"/>
  <c r="F96" i="18"/>
  <c r="G96" i="18" s="1"/>
  <c r="I96" i="18"/>
  <c r="C97" i="18" s="1"/>
  <c r="J96" i="18"/>
  <c r="I94" i="17"/>
  <c r="C95" i="17" s="1"/>
  <c r="F94" i="17"/>
  <c r="G94" i="17" s="1"/>
  <c r="J94" i="17"/>
  <c r="D196" i="17"/>
  <c r="A197" i="17"/>
  <c r="B196" i="17"/>
  <c r="B194" i="16"/>
  <c r="D194" i="16"/>
  <c r="A195" i="16"/>
  <c r="F87" i="16"/>
  <c r="G87" i="16" s="1"/>
  <c r="I87" i="16"/>
  <c r="C88" i="16" s="1"/>
  <c r="J87" i="16"/>
  <c r="A225" i="18" l="1"/>
  <c r="D224" i="18"/>
  <c r="B224" i="18"/>
  <c r="E97" i="18"/>
  <c r="H97" i="18"/>
  <c r="H95" i="17"/>
  <c r="E95" i="17"/>
  <c r="D197" i="17"/>
  <c r="A198" i="17"/>
  <c r="B197" i="17"/>
  <c r="A196" i="16"/>
  <c r="D195" i="16"/>
  <c r="B195" i="16"/>
  <c r="E88" i="16"/>
  <c r="H88" i="16"/>
  <c r="A226" i="18" l="1"/>
  <c r="D225" i="18"/>
  <c r="B225" i="18"/>
  <c r="I97" i="18"/>
  <c r="C98" i="18" s="1"/>
  <c r="F97" i="18"/>
  <c r="G97" i="18" s="1"/>
  <c r="J97" i="18"/>
  <c r="J95" i="17"/>
  <c r="I95" i="17"/>
  <c r="C96" i="17" s="1"/>
  <c r="F95" i="17"/>
  <c r="G95" i="17" s="1"/>
  <c r="D198" i="17"/>
  <c r="A199" i="17"/>
  <c r="B198" i="17"/>
  <c r="A197" i="16"/>
  <c r="D196" i="16"/>
  <c r="B196" i="16"/>
  <c r="I88" i="16"/>
  <c r="C89" i="16" s="1"/>
  <c r="F88" i="16"/>
  <c r="G88" i="16" s="1"/>
  <c r="J88" i="16"/>
  <c r="A227" i="18" l="1"/>
  <c r="D226" i="18"/>
  <c r="B226" i="18"/>
  <c r="E98" i="18"/>
  <c r="H98" i="18"/>
  <c r="E96" i="17"/>
  <c r="H96" i="17"/>
  <c r="B199" i="17"/>
  <c r="D199" i="17"/>
  <c r="A200" i="17"/>
  <c r="A198" i="16"/>
  <c r="B197" i="16"/>
  <c r="D197" i="16"/>
  <c r="H89" i="16"/>
  <c r="E89" i="16"/>
  <c r="B227" i="18" l="1"/>
  <c r="A228" i="18"/>
  <c r="D227" i="18"/>
  <c r="I98" i="18"/>
  <c r="C99" i="18" s="1"/>
  <c r="F98" i="18"/>
  <c r="G98" i="18" s="1"/>
  <c r="J98" i="18"/>
  <c r="F96" i="17"/>
  <c r="G96" i="17" s="1"/>
  <c r="I96" i="17"/>
  <c r="C97" i="17" s="1"/>
  <c r="J96" i="17"/>
  <c r="D200" i="17"/>
  <c r="B200" i="17"/>
  <c r="A201" i="17"/>
  <c r="B198" i="16"/>
  <c r="D198" i="16"/>
  <c r="A199" i="16"/>
  <c r="J89" i="16"/>
  <c r="F89" i="16"/>
  <c r="G89" i="16" s="1"/>
  <c r="I89" i="16"/>
  <c r="C90" i="16" s="1"/>
  <c r="B228" i="18" l="1"/>
  <c r="A229" i="18"/>
  <c r="D228" i="18"/>
  <c r="H99" i="18"/>
  <c r="E99" i="18"/>
  <c r="E97" i="17"/>
  <c r="H97" i="17"/>
  <c r="B201" i="17"/>
  <c r="D201" i="17"/>
  <c r="A202" i="17"/>
  <c r="B199" i="16"/>
  <c r="D199" i="16"/>
  <c r="A200" i="16"/>
  <c r="E90" i="16"/>
  <c r="H90" i="16"/>
  <c r="D229" i="18" l="1"/>
  <c r="B229" i="18"/>
  <c r="A230" i="18"/>
  <c r="J99" i="18"/>
  <c r="I99" i="18"/>
  <c r="C100" i="18" s="1"/>
  <c r="F99" i="18"/>
  <c r="G99" i="18" s="1"/>
  <c r="I97" i="17"/>
  <c r="C98" i="17" s="1"/>
  <c r="F97" i="17"/>
  <c r="G97" i="17" s="1"/>
  <c r="J97" i="17"/>
  <c r="A203" i="17"/>
  <c r="B202" i="17"/>
  <c r="D202" i="17"/>
  <c r="D200" i="16"/>
  <c r="A201" i="16"/>
  <c r="B200" i="16"/>
  <c r="I90" i="16"/>
  <c r="C91" i="16" s="1"/>
  <c r="F90" i="16"/>
  <c r="G90" i="16" s="1"/>
  <c r="J90" i="16"/>
  <c r="D230" i="18" l="1"/>
  <c r="B230" i="18"/>
  <c r="A231" i="18"/>
  <c r="E100" i="18"/>
  <c r="H100" i="18"/>
  <c r="H98" i="17"/>
  <c r="E98" i="17"/>
  <c r="B203" i="17"/>
  <c r="D203" i="17"/>
  <c r="A204" i="17"/>
  <c r="D201" i="16"/>
  <c r="A202" i="16"/>
  <c r="B201" i="16"/>
  <c r="H91" i="16"/>
  <c r="E91" i="16"/>
  <c r="B231" i="18" l="1"/>
  <c r="D231" i="18"/>
  <c r="A232" i="18"/>
  <c r="F100" i="18"/>
  <c r="G100" i="18" s="1"/>
  <c r="I100" i="18"/>
  <c r="C101" i="18" s="1"/>
  <c r="J100" i="18"/>
  <c r="J98" i="17"/>
  <c r="I98" i="17"/>
  <c r="C99" i="17" s="1"/>
  <c r="F98" i="17"/>
  <c r="G98" i="17" s="1"/>
  <c r="D204" i="17"/>
  <c r="A205" i="17"/>
  <c r="B204" i="17"/>
  <c r="D202" i="16"/>
  <c r="A203" i="16"/>
  <c r="B202" i="16"/>
  <c r="J91" i="16"/>
  <c r="F91" i="16"/>
  <c r="G91" i="16" s="1"/>
  <c r="I91" i="16"/>
  <c r="C92" i="16" s="1"/>
  <c r="B232" i="18" l="1"/>
  <c r="A233" i="18"/>
  <c r="D232" i="18"/>
  <c r="E101" i="18"/>
  <c r="H101" i="18"/>
  <c r="H99" i="17"/>
  <c r="E99" i="17"/>
  <c r="A206" i="17"/>
  <c r="B205" i="17"/>
  <c r="D205" i="17"/>
  <c r="A204" i="16"/>
  <c r="D203" i="16"/>
  <c r="B203" i="16"/>
  <c r="E92" i="16"/>
  <c r="H92" i="16"/>
  <c r="B233" i="18" l="1"/>
  <c r="D233" i="18"/>
  <c r="A234" i="18"/>
  <c r="F101" i="18"/>
  <c r="G101" i="18" s="1"/>
  <c r="I101" i="18"/>
  <c r="C102" i="18" s="1"/>
  <c r="J101" i="18"/>
  <c r="J99" i="17"/>
  <c r="F99" i="17"/>
  <c r="G99" i="17" s="1"/>
  <c r="I99" i="17"/>
  <c r="C100" i="17" s="1"/>
  <c r="A207" i="17"/>
  <c r="B206" i="17"/>
  <c r="D206" i="17"/>
  <c r="A205" i="16"/>
  <c r="D204" i="16"/>
  <c r="B204" i="16"/>
  <c r="F92" i="16"/>
  <c r="G92" i="16" s="1"/>
  <c r="I92" i="16"/>
  <c r="C93" i="16" s="1"/>
  <c r="J92" i="16"/>
  <c r="B234" i="18" l="1"/>
  <c r="D234" i="18"/>
  <c r="A235" i="18"/>
  <c r="E102" i="18"/>
  <c r="H102" i="18"/>
  <c r="E100" i="17"/>
  <c r="H100" i="17"/>
  <c r="D207" i="17"/>
  <c r="B207" i="17"/>
  <c r="A208" i="17"/>
  <c r="A206" i="16"/>
  <c r="D205" i="16"/>
  <c r="B205" i="16"/>
  <c r="H93" i="16"/>
  <c r="E93" i="16"/>
  <c r="B235" i="18" l="1"/>
  <c r="D235" i="18"/>
  <c r="A236" i="18"/>
  <c r="I102" i="18"/>
  <c r="C103" i="18" s="1"/>
  <c r="F102" i="18"/>
  <c r="G102" i="18" s="1"/>
  <c r="J102" i="18"/>
  <c r="F100" i="17"/>
  <c r="G100" i="17" s="1"/>
  <c r="I100" i="17"/>
  <c r="C101" i="17" s="1"/>
  <c r="J100" i="17"/>
  <c r="D208" i="17"/>
  <c r="B208" i="17"/>
  <c r="A209" i="17"/>
  <c r="B206" i="16"/>
  <c r="D206" i="16"/>
  <c r="A207" i="16"/>
  <c r="J93" i="16"/>
  <c r="I93" i="16"/>
  <c r="C94" i="16" s="1"/>
  <c r="F93" i="16"/>
  <c r="G93" i="16" s="1"/>
  <c r="A237" i="18" l="1"/>
  <c r="D236" i="18"/>
  <c r="B236" i="18"/>
  <c r="E103" i="18"/>
  <c r="H103" i="18"/>
  <c r="E101" i="17"/>
  <c r="H101" i="17"/>
  <c r="D209" i="17"/>
  <c r="B209" i="17"/>
  <c r="A210" i="17"/>
  <c r="A208" i="16"/>
  <c r="B207" i="16"/>
  <c r="D207" i="16"/>
  <c r="H94" i="16"/>
  <c r="E94" i="16"/>
  <c r="A238" i="18" l="1"/>
  <c r="D237" i="18"/>
  <c r="B237" i="18"/>
  <c r="F103" i="18"/>
  <c r="G103" i="18" s="1"/>
  <c r="I103" i="18"/>
  <c r="C104" i="18" s="1"/>
  <c r="J103" i="18"/>
  <c r="F101" i="17"/>
  <c r="G101" i="17" s="1"/>
  <c r="I101" i="17"/>
  <c r="C102" i="17" s="1"/>
  <c r="J101" i="17"/>
  <c r="B210" i="17"/>
  <c r="D210" i="17"/>
  <c r="A211" i="17"/>
  <c r="D208" i="16"/>
  <c r="A209" i="16"/>
  <c r="B208" i="16"/>
  <c r="J94" i="16"/>
  <c r="F94" i="16"/>
  <c r="G94" i="16" s="1"/>
  <c r="I94" i="16"/>
  <c r="C95" i="16" s="1"/>
  <c r="A239" i="18" l="1"/>
  <c r="D238" i="18"/>
  <c r="B238" i="18"/>
  <c r="E104" i="18"/>
  <c r="H104" i="18"/>
  <c r="E102" i="17"/>
  <c r="H102" i="17"/>
  <c r="D211" i="17"/>
  <c r="B211" i="17"/>
  <c r="A212" i="17"/>
  <c r="D209" i="16"/>
  <c r="A210" i="16"/>
  <c r="B209" i="16"/>
  <c r="H95" i="16"/>
  <c r="E95" i="16"/>
  <c r="A240" i="18" l="1"/>
  <c r="D239" i="18"/>
  <c r="B239" i="18"/>
  <c r="I104" i="18"/>
  <c r="C105" i="18" s="1"/>
  <c r="F104" i="18"/>
  <c r="G104" i="18" s="1"/>
  <c r="J104" i="18"/>
  <c r="F102" i="17"/>
  <c r="G102" i="17" s="1"/>
  <c r="I102" i="17"/>
  <c r="C103" i="17" s="1"/>
  <c r="J102" i="17"/>
  <c r="D212" i="17"/>
  <c r="B212" i="17"/>
  <c r="A213" i="17"/>
  <c r="A211" i="16"/>
  <c r="D210" i="16"/>
  <c r="B210" i="16"/>
  <c r="J95" i="16"/>
  <c r="I95" i="16"/>
  <c r="C96" i="16" s="1"/>
  <c r="F95" i="16"/>
  <c r="G95" i="16" s="1"/>
  <c r="A241" i="18" l="1"/>
  <c r="D240" i="18"/>
  <c r="B240" i="18"/>
  <c r="E105" i="18"/>
  <c r="H105" i="18"/>
  <c r="E103" i="17"/>
  <c r="H103" i="17"/>
  <c r="A214" i="17"/>
  <c r="B213" i="17"/>
  <c r="D213" i="17"/>
  <c r="A212" i="16"/>
  <c r="D211" i="16"/>
  <c r="B211" i="16"/>
  <c r="H96" i="16"/>
  <c r="E96" i="16"/>
  <c r="A242" i="18" l="1"/>
  <c r="D241" i="18"/>
  <c r="B241" i="18"/>
  <c r="F105" i="18"/>
  <c r="G105" i="18" s="1"/>
  <c r="I105" i="18"/>
  <c r="C106" i="18" s="1"/>
  <c r="J105" i="18"/>
  <c r="I103" i="17"/>
  <c r="C104" i="17" s="1"/>
  <c r="F103" i="17"/>
  <c r="G103" i="17" s="1"/>
  <c r="J103" i="17"/>
  <c r="D214" i="17"/>
  <c r="B214" i="17"/>
  <c r="A215" i="17"/>
  <c r="D212" i="16"/>
  <c r="A213" i="16"/>
  <c r="B212" i="16"/>
  <c r="J96" i="16"/>
  <c r="F96" i="16"/>
  <c r="G96" i="16" s="1"/>
  <c r="I96" i="16"/>
  <c r="C97" i="16" s="1"/>
  <c r="A243" i="18" l="1"/>
  <c r="D242" i="18"/>
  <c r="B242" i="18"/>
  <c r="E106" i="18"/>
  <c r="H106" i="18"/>
  <c r="E104" i="17"/>
  <c r="H104" i="17"/>
  <c r="D215" i="17"/>
  <c r="A216" i="17"/>
  <c r="B215" i="17"/>
  <c r="B213" i="16"/>
  <c r="A214" i="16"/>
  <c r="D213" i="16"/>
  <c r="H97" i="16"/>
  <c r="E97" i="16"/>
  <c r="A244" i="18" l="1"/>
  <c r="D243" i="18"/>
  <c r="B243" i="18"/>
  <c r="I106" i="18"/>
  <c r="C107" i="18" s="1"/>
  <c r="F106" i="18"/>
  <c r="G106" i="18" s="1"/>
  <c r="J106" i="18"/>
  <c r="F104" i="17"/>
  <c r="G104" i="17" s="1"/>
  <c r="I104" i="17"/>
  <c r="C105" i="17" s="1"/>
  <c r="J104" i="17"/>
  <c r="B216" i="17"/>
  <c r="A217" i="17"/>
  <c r="D216" i="17"/>
  <c r="D214" i="16"/>
  <c r="A215" i="16"/>
  <c r="B214" i="16"/>
  <c r="J97" i="16"/>
  <c r="F97" i="16"/>
  <c r="G97" i="16" s="1"/>
  <c r="I97" i="16"/>
  <c r="C98" i="16" s="1"/>
  <c r="A245" i="18" l="1"/>
  <c r="D244" i="18"/>
  <c r="B244" i="18"/>
  <c r="E107" i="18"/>
  <c r="H107" i="18"/>
  <c r="H105" i="17"/>
  <c r="E105" i="17"/>
  <c r="D217" i="17"/>
  <c r="A218" i="17"/>
  <c r="B217" i="17"/>
  <c r="A216" i="16"/>
  <c r="D215" i="16"/>
  <c r="B215" i="16"/>
  <c r="E98" i="16"/>
  <c r="H98" i="16"/>
  <c r="A246" i="18" l="1"/>
  <c r="D245" i="18"/>
  <c r="B245" i="18"/>
  <c r="F107" i="18"/>
  <c r="G107" i="18" s="1"/>
  <c r="I107" i="18"/>
  <c r="C108" i="18" s="1"/>
  <c r="J107" i="18"/>
  <c r="J105" i="17"/>
  <c r="F105" i="17"/>
  <c r="G105" i="17" s="1"/>
  <c r="I105" i="17"/>
  <c r="C106" i="17" s="1"/>
  <c r="A219" i="17"/>
  <c r="D218" i="17"/>
  <c r="B218" i="17"/>
  <c r="A217" i="16"/>
  <c r="D216" i="16"/>
  <c r="B216" i="16"/>
  <c r="I98" i="16"/>
  <c r="C99" i="16" s="1"/>
  <c r="F98" i="16"/>
  <c r="G98" i="16" s="1"/>
  <c r="J98" i="16"/>
  <c r="A247" i="18" l="1"/>
  <c r="D246" i="18"/>
  <c r="B246" i="18"/>
  <c r="E108" i="18"/>
  <c r="H108" i="18"/>
  <c r="E106" i="17"/>
  <c r="H106" i="17"/>
  <c r="A220" i="17"/>
  <c r="D219" i="17"/>
  <c r="B219" i="17"/>
  <c r="A218" i="16"/>
  <c r="D217" i="16"/>
  <c r="B217" i="16"/>
  <c r="E99" i="16"/>
  <c r="H99" i="16"/>
  <c r="A248" i="18" l="1"/>
  <c r="D247" i="18"/>
  <c r="B247" i="18"/>
  <c r="I108" i="18"/>
  <c r="C109" i="18" s="1"/>
  <c r="F108" i="18"/>
  <c r="G108" i="18" s="1"/>
  <c r="J108" i="18"/>
  <c r="F106" i="17"/>
  <c r="G106" i="17" s="1"/>
  <c r="I106" i="17"/>
  <c r="C107" i="17" s="1"/>
  <c r="J106" i="17"/>
  <c r="B220" i="17"/>
  <c r="D220" i="17"/>
  <c r="A221" i="17"/>
  <c r="D218" i="16"/>
  <c r="B218" i="16"/>
  <c r="A219" i="16"/>
  <c r="I99" i="16"/>
  <c r="C100" i="16" s="1"/>
  <c r="F99" i="16"/>
  <c r="G99" i="16" s="1"/>
  <c r="J99" i="16"/>
  <c r="A249" i="18" l="1"/>
  <c r="D248" i="18"/>
  <c r="B248" i="18"/>
  <c r="E109" i="18"/>
  <c r="H109" i="18"/>
  <c r="E107" i="17"/>
  <c r="H107" i="17"/>
  <c r="B221" i="17"/>
  <c r="D221" i="17"/>
  <c r="A222" i="17"/>
  <c r="B219" i="16"/>
  <c r="D219" i="16"/>
  <c r="A220" i="16"/>
  <c r="E100" i="16"/>
  <c r="H100" i="16"/>
  <c r="D249" i="18" l="1"/>
  <c r="B249" i="18"/>
  <c r="A250" i="18"/>
  <c r="I109" i="18"/>
  <c r="C110" i="18" s="1"/>
  <c r="F109" i="18"/>
  <c r="G109" i="18" s="1"/>
  <c r="J109" i="18"/>
  <c r="I107" i="17"/>
  <c r="C108" i="17" s="1"/>
  <c r="F107" i="17"/>
  <c r="G107" i="17" s="1"/>
  <c r="J107" i="17"/>
  <c r="D222" i="17"/>
  <c r="B222" i="17"/>
  <c r="A223" i="17"/>
  <c r="D220" i="16"/>
  <c r="A221" i="16"/>
  <c r="B220" i="16"/>
  <c r="F100" i="16"/>
  <c r="G100" i="16" s="1"/>
  <c r="I100" i="16"/>
  <c r="C101" i="16" s="1"/>
  <c r="J100" i="16"/>
  <c r="A251" i="18" l="1"/>
  <c r="D250" i="18"/>
  <c r="B250" i="18"/>
  <c r="E110" i="18"/>
  <c r="H110" i="18"/>
  <c r="E108" i="17"/>
  <c r="H108" i="17"/>
  <c r="D223" i="17"/>
  <c r="A224" i="17"/>
  <c r="B223" i="17"/>
  <c r="B221" i="16"/>
  <c r="D221" i="16"/>
  <c r="A222" i="16"/>
  <c r="H101" i="16"/>
  <c r="E101" i="16"/>
  <c r="A252" i="18" l="1"/>
  <c r="D251" i="18"/>
  <c r="B251" i="18"/>
  <c r="I110" i="18"/>
  <c r="C111" i="18" s="1"/>
  <c r="F110" i="18"/>
  <c r="G110" i="18" s="1"/>
  <c r="J110" i="18"/>
  <c r="F108" i="17"/>
  <c r="G108" i="17" s="1"/>
  <c r="I108" i="17"/>
  <c r="C109" i="17" s="1"/>
  <c r="J108" i="17"/>
  <c r="B224" i="17"/>
  <c r="D224" i="17"/>
  <c r="A225" i="17"/>
  <c r="B222" i="16"/>
  <c r="A223" i="16"/>
  <c r="D222" i="16"/>
  <c r="J101" i="16"/>
  <c r="I101" i="16"/>
  <c r="C102" i="16" s="1"/>
  <c r="F101" i="16"/>
  <c r="G101" i="16" s="1"/>
  <c r="A253" i="18" l="1"/>
  <c r="D252" i="18"/>
  <c r="B252" i="18"/>
  <c r="H111" i="18"/>
  <c r="E111" i="18"/>
  <c r="E109" i="17"/>
  <c r="H109" i="17"/>
  <c r="D225" i="17"/>
  <c r="A226" i="17"/>
  <c r="B225" i="17"/>
  <c r="D223" i="16"/>
  <c r="A224" i="16"/>
  <c r="B223" i="16"/>
  <c r="E102" i="16"/>
  <c r="H102" i="16"/>
  <c r="A254" i="18" l="1"/>
  <c r="D253" i="18"/>
  <c r="B253" i="18"/>
  <c r="J111" i="18"/>
  <c r="I111" i="18"/>
  <c r="C112" i="18" s="1"/>
  <c r="F111" i="18"/>
  <c r="G111" i="18" s="1"/>
  <c r="I109" i="17"/>
  <c r="C110" i="17" s="1"/>
  <c r="F109" i="17"/>
  <c r="G109" i="17" s="1"/>
  <c r="J109" i="17"/>
  <c r="A227" i="17"/>
  <c r="D226" i="17"/>
  <c r="B226" i="17"/>
  <c r="A225" i="16"/>
  <c r="D224" i="16"/>
  <c r="B224" i="16"/>
  <c r="F102" i="16"/>
  <c r="G102" i="16" s="1"/>
  <c r="I102" i="16"/>
  <c r="C103" i="16" s="1"/>
  <c r="J102" i="16"/>
  <c r="B254" i="18" l="1"/>
  <c r="A255" i="18"/>
  <c r="D254" i="18"/>
  <c r="E112" i="18"/>
  <c r="H112" i="18"/>
  <c r="H110" i="17"/>
  <c r="E110" i="17"/>
  <c r="D227" i="17"/>
  <c r="A228" i="17"/>
  <c r="B227" i="17"/>
  <c r="B225" i="16"/>
  <c r="D225" i="16"/>
  <c r="A226" i="16"/>
  <c r="E103" i="16"/>
  <c r="H103" i="16"/>
  <c r="A256" i="18" l="1"/>
  <c r="D255" i="18"/>
  <c r="B255" i="18"/>
  <c r="F112" i="18"/>
  <c r="G112" i="18" s="1"/>
  <c r="I112" i="18"/>
  <c r="C113" i="18" s="1"/>
  <c r="J112" i="18"/>
  <c r="J110" i="17"/>
  <c r="F110" i="17"/>
  <c r="G110" i="17" s="1"/>
  <c r="I110" i="17"/>
  <c r="C111" i="17" s="1"/>
  <c r="A229" i="17"/>
  <c r="B228" i="17"/>
  <c r="D228" i="17"/>
  <c r="B226" i="16"/>
  <c r="D226" i="16"/>
  <c r="A227" i="16"/>
  <c r="I103" i="16"/>
  <c r="C104" i="16" s="1"/>
  <c r="F103" i="16"/>
  <c r="G103" i="16" s="1"/>
  <c r="J103" i="16"/>
  <c r="A257" i="18" l="1"/>
  <c r="D256" i="18"/>
  <c r="B256" i="18"/>
  <c r="E113" i="18"/>
  <c r="H113" i="18"/>
  <c r="E111" i="17"/>
  <c r="H111" i="17"/>
  <c r="B229" i="17"/>
  <c r="A230" i="17"/>
  <c r="D229" i="17"/>
  <c r="B227" i="16"/>
  <c r="D227" i="16"/>
  <c r="A228" i="16"/>
  <c r="E104" i="16"/>
  <c r="H104" i="16"/>
  <c r="B257" i="18" l="1"/>
  <c r="A258" i="18"/>
  <c r="D257" i="18"/>
  <c r="I113" i="18"/>
  <c r="C114" i="18" s="1"/>
  <c r="F113" i="18"/>
  <c r="G113" i="18" s="1"/>
  <c r="J113" i="18"/>
  <c r="F111" i="17"/>
  <c r="G111" i="17" s="1"/>
  <c r="I111" i="17"/>
  <c r="C112" i="17" s="1"/>
  <c r="J111" i="17"/>
  <c r="D230" i="17"/>
  <c r="B230" i="17"/>
  <c r="A231" i="17"/>
  <c r="B228" i="16"/>
  <c r="D228" i="16"/>
  <c r="A229" i="16"/>
  <c r="I104" i="16"/>
  <c r="C105" i="16" s="1"/>
  <c r="F104" i="16"/>
  <c r="G104" i="16" s="1"/>
  <c r="J104" i="16"/>
  <c r="B258" i="18" l="1"/>
  <c r="A259" i="18"/>
  <c r="D258" i="18"/>
  <c r="E114" i="18"/>
  <c r="H114" i="18"/>
  <c r="E112" i="17"/>
  <c r="H112" i="17"/>
  <c r="D231" i="17"/>
  <c r="B231" i="17"/>
  <c r="A232" i="17"/>
  <c r="D229" i="16"/>
  <c r="A230" i="16"/>
  <c r="B229" i="16"/>
  <c r="E105" i="16"/>
  <c r="H105" i="16"/>
  <c r="B259" i="18" l="1"/>
  <c r="A260" i="18"/>
  <c r="D259" i="18"/>
  <c r="I114" i="18"/>
  <c r="C115" i="18" s="1"/>
  <c r="F114" i="18"/>
  <c r="G114" i="18" s="1"/>
  <c r="J114" i="18"/>
  <c r="F112" i="17"/>
  <c r="G112" i="17" s="1"/>
  <c r="I112" i="17"/>
  <c r="C113" i="17" s="1"/>
  <c r="J112" i="17"/>
  <c r="D232" i="17"/>
  <c r="B232" i="17"/>
  <c r="A233" i="17"/>
  <c r="B230" i="16"/>
  <c r="D230" i="16"/>
  <c r="A231" i="16"/>
  <c r="F105" i="16"/>
  <c r="G105" i="16" s="1"/>
  <c r="I105" i="16"/>
  <c r="C106" i="16" s="1"/>
  <c r="J105" i="16"/>
  <c r="B260" i="18" l="1"/>
  <c r="A261" i="18"/>
  <c r="D260" i="18"/>
  <c r="E115" i="18"/>
  <c r="H115" i="18"/>
  <c r="H113" i="17"/>
  <c r="E113" i="17"/>
  <c r="D233" i="17"/>
  <c r="A234" i="17"/>
  <c r="B233" i="17"/>
  <c r="D231" i="16"/>
  <c r="B231" i="16"/>
  <c r="A232" i="16"/>
  <c r="E106" i="16"/>
  <c r="H106" i="16"/>
  <c r="B261" i="18" l="1"/>
  <c r="D261" i="18"/>
  <c r="A262" i="18"/>
  <c r="I115" i="18"/>
  <c r="C116" i="18" s="1"/>
  <c r="F115" i="18"/>
  <c r="G115" i="18" s="1"/>
  <c r="J115" i="18"/>
  <c r="J113" i="17"/>
  <c r="I113" i="17"/>
  <c r="C114" i="17" s="1"/>
  <c r="F113" i="17"/>
  <c r="G113" i="17" s="1"/>
  <c r="D234" i="17"/>
  <c r="B234" i="17"/>
  <c r="A235" i="17"/>
  <c r="D232" i="16"/>
  <c r="B232" i="16"/>
  <c r="A233" i="16"/>
  <c r="I106" i="16"/>
  <c r="C107" i="16" s="1"/>
  <c r="F106" i="16"/>
  <c r="G106" i="16" s="1"/>
  <c r="J106" i="16"/>
  <c r="D262" i="18" l="1"/>
  <c r="B262" i="18"/>
  <c r="A263" i="18"/>
  <c r="E116" i="18"/>
  <c r="H116" i="18"/>
  <c r="H114" i="17"/>
  <c r="E114" i="17"/>
  <c r="D235" i="17"/>
  <c r="B235" i="17"/>
  <c r="A236" i="17"/>
  <c r="B233" i="16"/>
  <c r="A234" i="16"/>
  <c r="D233" i="16"/>
  <c r="E107" i="16"/>
  <c r="H107" i="16"/>
  <c r="D263" i="18" l="1"/>
  <c r="B263" i="18"/>
  <c r="A264" i="18"/>
  <c r="F116" i="18"/>
  <c r="G116" i="18" s="1"/>
  <c r="I116" i="18"/>
  <c r="C117" i="18" s="1"/>
  <c r="J116" i="18"/>
  <c r="J114" i="17"/>
  <c r="F114" i="17"/>
  <c r="G114" i="17" s="1"/>
  <c r="I114" i="17"/>
  <c r="C115" i="17" s="1"/>
  <c r="B236" i="17"/>
  <c r="D236" i="17"/>
  <c r="A237" i="17"/>
  <c r="B234" i="16"/>
  <c r="D234" i="16"/>
  <c r="A235" i="16"/>
  <c r="I107" i="16"/>
  <c r="C108" i="16" s="1"/>
  <c r="F107" i="16"/>
  <c r="G107" i="16" s="1"/>
  <c r="J107" i="16"/>
  <c r="D264" i="18" l="1"/>
  <c r="B264" i="18"/>
  <c r="A265" i="18"/>
  <c r="E117" i="18"/>
  <c r="H117" i="18"/>
  <c r="H115" i="17"/>
  <c r="E115" i="17"/>
  <c r="B237" i="17"/>
  <c r="D237" i="17"/>
  <c r="A238" i="17"/>
  <c r="A236" i="16"/>
  <c r="B235" i="16"/>
  <c r="D235" i="16"/>
  <c r="E108" i="16"/>
  <c r="H108" i="16"/>
  <c r="D265" i="18" l="1"/>
  <c r="B265" i="18"/>
  <c r="A266" i="18"/>
  <c r="F117" i="18"/>
  <c r="G117" i="18" s="1"/>
  <c r="I117" i="18"/>
  <c r="C118" i="18" s="1"/>
  <c r="J117" i="18"/>
  <c r="J115" i="17"/>
  <c r="F115" i="17"/>
  <c r="G115" i="17" s="1"/>
  <c r="I115" i="17"/>
  <c r="C116" i="17" s="1"/>
  <c r="D238" i="17"/>
  <c r="B238" i="17"/>
  <c r="A239" i="17"/>
  <c r="B236" i="16"/>
  <c r="D236" i="16"/>
  <c r="A237" i="16"/>
  <c r="F108" i="16"/>
  <c r="G108" i="16" s="1"/>
  <c r="I108" i="16"/>
  <c r="C109" i="16" s="1"/>
  <c r="J108" i="16"/>
  <c r="D266" i="18" l="1"/>
  <c r="A267" i="18"/>
  <c r="B266" i="18"/>
  <c r="E118" i="18"/>
  <c r="H118" i="18"/>
  <c r="H116" i="17"/>
  <c r="E116" i="17"/>
  <c r="A240" i="17"/>
  <c r="B239" i="17"/>
  <c r="D239" i="17"/>
  <c r="A238" i="16"/>
  <c r="B237" i="16"/>
  <c r="D237" i="16"/>
  <c r="E109" i="16"/>
  <c r="H109" i="16"/>
  <c r="A268" i="18" l="1"/>
  <c r="D267" i="18"/>
  <c r="B267" i="18"/>
  <c r="F118" i="18"/>
  <c r="G118" i="18" s="1"/>
  <c r="I118" i="18"/>
  <c r="C119" i="18" s="1"/>
  <c r="J118" i="18"/>
  <c r="J116" i="17"/>
  <c r="F116" i="17"/>
  <c r="G116" i="17" s="1"/>
  <c r="I116" i="17"/>
  <c r="C117" i="17" s="1"/>
  <c r="D240" i="17"/>
  <c r="A241" i="17"/>
  <c r="B240" i="17"/>
  <c r="B238" i="16"/>
  <c r="D238" i="16"/>
  <c r="A239" i="16"/>
  <c r="F109" i="16"/>
  <c r="G109" i="16" s="1"/>
  <c r="I109" i="16"/>
  <c r="C110" i="16" s="1"/>
  <c r="J109" i="16"/>
  <c r="A269" i="18" l="1"/>
  <c r="D268" i="18"/>
  <c r="B268" i="18"/>
  <c r="E119" i="18"/>
  <c r="H119" i="18"/>
  <c r="E117" i="17"/>
  <c r="H117" i="17"/>
  <c r="A242" i="17"/>
  <c r="B241" i="17"/>
  <c r="D241" i="17"/>
  <c r="A240" i="16"/>
  <c r="D239" i="16"/>
  <c r="B239" i="16"/>
  <c r="E110" i="16"/>
  <c r="H110" i="16"/>
  <c r="B269" i="18" l="1"/>
  <c r="A270" i="18"/>
  <c r="D269" i="18"/>
  <c r="F119" i="18"/>
  <c r="G119" i="18" s="1"/>
  <c r="I119" i="18"/>
  <c r="C120" i="18" s="1"/>
  <c r="J119" i="18"/>
  <c r="I117" i="17"/>
  <c r="C118" i="17" s="1"/>
  <c r="F117" i="17"/>
  <c r="G117" i="17" s="1"/>
  <c r="J117" i="17"/>
  <c r="B242" i="17"/>
  <c r="D242" i="17"/>
  <c r="A243" i="17"/>
  <c r="D240" i="16"/>
  <c r="A241" i="16"/>
  <c r="B240" i="16"/>
  <c r="F110" i="16"/>
  <c r="G110" i="16" s="1"/>
  <c r="I110" i="16"/>
  <c r="C111" i="16" s="1"/>
  <c r="J110" i="16"/>
  <c r="D270" i="18" l="1"/>
  <c r="A271" i="18"/>
  <c r="B270" i="18"/>
  <c r="E120" i="18"/>
  <c r="H120" i="18"/>
  <c r="H118" i="17"/>
  <c r="E118" i="17"/>
  <c r="A244" i="17"/>
  <c r="B243" i="17"/>
  <c r="D243" i="17"/>
  <c r="B241" i="16"/>
  <c r="D241" i="16"/>
  <c r="A242" i="16"/>
  <c r="E111" i="16"/>
  <c r="H111" i="16"/>
  <c r="B271" i="18" l="1"/>
  <c r="D271" i="18"/>
  <c r="A272" i="18"/>
  <c r="F120" i="18"/>
  <c r="G120" i="18" s="1"/>
  <c r="I120" i="18"/>
  <c r="C121" i="18" s="1"/>
  <c r="J120" i="18"/>
  <c r="J118" i="17"/>
  <c r="F118" i="17"/>
  <c r="G118" i="17" s="1"/>
  <c r="I118" i="17"/>
  <c r="C119" i="17" s="1"/>
  <c r="B244" i="17"/>
  <c r="D244" i="17"/>
  <c r="A245" i="17"/>
  <c r="B242" i="16"/>
  <c r="D242" i="16"/>
  <c r="A243" i="16"/>
  <c r="F111" i="16"/>
  <c r="G111" i="16" s="1"/>
  <c r="I111" i="16"/>
  <c r="C112" i="16" s="1"/>
  <c r="J111" i="16"/>
  <c r="A273" i="18" l="1"/>
  <c r="B272" i="18"/>
  <c r="D272" i="18"/>
  <c r="E121" i="18"/>
  <c r="H121" i="18"/>
  <c r="E119" i="17"/>
  <c r="H119" i="17"/>
  <c r="B245" i="17"/>
  <c r="D245" i="17"/>
  <c r="A246" i="17"/>
  <c r="B243" i="16"/>
  <c r="D243" i="16"/>
  <c r="A244" i="16"/>
  <c r="E112" i="16"/>
  <c r="H112" i="16"/>
  <c r="B273" i="18" l="1"/>
  <c r="A274" i="18"/>
  <c r="D273" i="18"/>
  <c r="F121" i="18"/>
  <c r="G121" i="18" s="1"/>
  <c r="I121" i="18"/>
  <c r="C122" i="18" s="1"/>
  <c r="J121" i="18"/>
  <c r="F119" i="17"/>
  <c r="G119" i="17" s="1"/>
  <c r="I119" i="17"/>
  <c r="C120" i="17" s="1"/>
  <c r="J119" i="17"/>
  <c r="B246" i="17"/>
  <c r="D246" i="17"/>
  <c r="A247" i="17"/>
  <c r="D244" i="16"/>
  <c r="B244" i="16"/>
  <c r="A245" i="16"/>
  <c r="I112" i="16"/>
  <c r="C113" i="16" s="1"/>
  <c r="F112" i="16"/>
  <c r="G112" i="16" s="1"/>
  <c r="J112" i="16"/>
  <c r="B274" i="18" l="1"/>
  <c r="A275" i="18"/>
  <c r="D274" i="18"/>
  <c r="E122" i="18"/>
  <c r="H122" i="18"/>
  <c r="E120" i="17"/>
  <c r="H120" i="17"/>
  <c r="B247" i="17"/>
  <c r="D247" i="17"/>
  <c r="A248" i="17"/>
  <c r="B245" i="16"/>
  <c r="D245" i="16"/>
  <c r="A246" i="16"/>
  <c r="H113" i="16"/>
  <c r="E113" i="16"/>
  <c r="B275" i="18" l="1"/>
  <c r="D275" i="18"/>
  <c r="A276" i="18"/>
  <c r="I122" i="18"/>
  <c r="C123" i="18" s="1"/>
  <c r="F122" i="18"/>
  <c r="G122" i="18" s="1"/>
  <c r="J122" i="18"/>
  <c r="I120" i="17"/>
  <c r="C121" i="17" s="1"/>
  <c r="F120" i="17"/>
  <c r="G120" i="17" s="1"/>
  <c r="J120" i="17"/>
  <c r="A249" i="17"/>
  <c r="B248" i="17"/>
  <c r="D248" i="17"/>
  <c r="B246" i="16"/>
  <c r="D246" i="16"/>
  <c r="A247" i="16"/>
  <c r="J113" i="16"/>
  <c r="F113" i="16"/>
  <c r="G113" i="16" s="1"/>
  <c r="I113" i="16"/>
  <c r="C114" i="16" s="1"/>
  <c r="A277" i="18" l="1"/>
  <c r="D276" i="18"/>
  <c r="B276" i="18"/>
  <c r="E123" i="18"/>
  <c r="H123" i="18"/>
  <c r="E121" i="17"/>
  <c r="H121" i="17"/>
  <c r="B249" i="17"/>
  <c r="D249" i="17"/>
  <c r="A250" i="17"/>
  <c r="B247" i="16"/>
  <c r="D247" i="16"/>
  <c r="A248" i="16"/>
  <c r="E114" i="16"/>
  <c r="H114" i="16"/>
  <c r="A278" i="18" l="1"/>
  <c r="D277" i="18"/>
  <c r="B277" i="18"/>
  <c r="I123" i="18"/>
  <c r="C124" i="18" s="1"/>
  <c r="F123" i="18"/>
  <c r="G123" i="18" s="1"/>
  <c r="J123" i="18"/>
  <c r="F121" i="17"/>
  <c r="G121" i="17" s="1"/>
  <c r="I121" i="17"/>
  <c r="C122" i="17" s="1"/>
  <c r="J121" i="17"/>
  <c r="B250" i="17"/>
  <c r="D250" i="17"/>
  <c r="A251" i="17"/>
  <c r="B248" i="16"/>
  <c r="A249" i="16"/>
  <c r="D248" i="16"/>
  <c r="I114" i="16"/>
  <c r="C115" i="16" s="1"/>
  <c r="F114" i="16"/>
  <c r="G114" i="16" s="1"/>
  <c r="J114" i="16"/>
  <c r="A279" i="18" l="1"/>
  <c r="D278" i="18"/>
  <c r="B278" i="18"/>
  <c r="H124" i="18"/>
  <c r="E124" i="18"/>
  <c r="E122" i="17"/>
  <c r="H122" i="17"/>
  <c r="A252" i="17"/>
  <c r="D251" i="17"/>
  <c r="B251" i="17"/>
  <c r="D249" i="16"/>
  <c r="A250" i="16"/>
  <c r="B249" i="16"/>
  <c r="E115" i="16"/>
  <c r="H115" i="16"/>
  <c r="A280" i="18" l="1"/>
  <c r="D279" i="18"/>
  <c r="B279" i="18"/>
  <c r="J124" i="18"/>
  <c r="I124" i="18"/>
  <c r="C125" i="18" s="1"/>
  <c r="F124" i="18"/>
  <c r="G124" i="18" s="1"/>
  <c r="F122" i="17"/>
  <c r="G122" i="17" s="1"/>
  <c r="I122" i="17"/>
  <c r="C123" i="17" s="1"/>
  <c r="J122" i="17"/>
  <c r="A253" i="17"/>
  <c r="D252" i="17"/>
  <c r="B252" i="17"/>
  <c r="D250" i="16"/>
  <c r="A251" i="16"/>
  <c r="B250" i="16"/>
  <c r="I115" i="16"/>
  <c r="C116" i="16" s="1"/>
  <c r="F115" i="16"/>
  <c r="G115" i="16" s="1"/>
  <c r="J115" i="16"/>
  <c r="A281" i="18" l="1"/>
  <c r="D280" i="18"/>
  <c r="B280" i="18"/>
  <c r="E125" i="18"/>
  <c r="H125" i="18"/>
  <c r="H123" i="17"/>
  <c r="E123" i="17"/>
  <c r="A254" i="17"/>
  <c r="D253" i="17"/>
  <c r="B253" i="17"/>
  <c r="B251" i="16"/>
  <c r="D251" i="16"/>
  <c r="A252" i="16"/>
  <c r="H116" i="16"/>
  <c r="E116" i="16"/>
  <c r="A282" i="18" l="1"/>
  <c r="D281" i="18"/>
  <c r="B281" i="18"/>
  <c r="F125" i="18"/>
  <c r="G125" i="18" s="1"/>
  <c r="I125" i="18"/>
  <c r="C126" i="18" s="1"/>
  <c r="J125" i="18"/>
  <c r="J123" i="17"/>
  <c r="I123" i="17"/>
  <c r="C124" i="17" s="1"/>
  <c r="F123" i="17"/>
  <c r="G123" i="17" s="1"/>
  <c r="B254" i="17"/>
  <c r="A255" i="17"/>
  <c r="D254" i="17"/>
  <c r="B252" i="16"/>
  <c r="D252" i="16"/>
  <c r="A253" i="16"/>
  <c r="J116" i="16"/>
  <c r="I116" i="16"/>
  <c r="C117" i="16" s="1"/>
  <c r="F116" i="16"/>
  <c r="G116" i="16" s="1"/>
  <c r="A283" i="18" l="1"/>
  <c r="D282" i="18"/>
  <c r="B282" i="18"/>
  <c r="E126" i="18"/>
  <c r="H126" i="18"/>
  <c r="E124" i="17"/>
  <c r="H124" i="17"/>
  <c r="A256" i="17"/>
  <c r="B255" i="17"/>
  <c r="D255" i="17"/>
  <c r="A254" i="16"/>
  <c r="D253" i="16"/>
  <c r="B253" i="16"/>
  <c r="E117" i="16"/>
  <c r="H117" i="16"/>
  <c r="A284" i="18" l="1"/>
  <c r="D283" i="18"/>
  <c r="B283" i="18"/>
  <c r="F126" i="18"/>
  <c r="G126" i="18" s="1"/>
  <c r="I126" i="18"/>
  <c r="C127" i="18" s="1"/>
  <c r="J126" i="18"/>
  <c r="F124" i="17"/>
  <c r="G124" i="17" s="1"/>
  <c r="I124" i="17"/>
  <c r="C125" i="17" s="1"/>
  <c r="J124" i="17"/>
  <c r="D256" i="17"/>
  <c r="B256" i="17"/>
  <c r="A257" i="17"/>
  <c r="A255" i="16"/>
  <c r="B254" i="16"/>
  <c r="D254" i="16"/>
  <c r="I117" i="16"/>
  <c r="C118" i="16" s="1"/>
  <c r="F117" i="16"/>
  <c r="G117" i="16" s="1"/>
  <c r="J117" i="16"/>
  <c r="A285" i="18" l="1"/>
  <c r="D284" i="18"/>
  <c r="B284" i="18"/>
  <c r="E127" i="18"/>
  <c r="H127" i="18"/>
  <c r="E125" i="17"/>
  <c r="H125" i="17"/>
  <c r="A258" i="17"/>
  <c r="D257" i="17"/>
  <c r="B257" i="17"/>
  <c r="B255" i="16"/>
  <c r="A256" i="16"/>
  <c r="D255" i="16"/>
  <c r="H118" i="16"/>
  <c r="E118" i="16"/>
  <c r="A286" i="18" l="1"/>
  <c r="D285" i="18"/>
  <c r="B285" i="18"/>
  <c r="I127" i="18"/>
  <c r="C128" i="18" s="1"/>
  <c r="F127" i="18"/>
  <c r="G127" i="18" s="1"/>
  <c r="J127" i="18"/>
  <c r="F125" i="17"/>
  <c r="G125" i="17" s="1"/>
  <c r="I125" i="17"/>
  <c r="C126" i="17" s="1"/>
  <c r="J125" i="17"/>
  <c r="A259" i="17"/>
  <c r="D258" i="17"/>
  <c r="B258" i="17"/>
  <c r="B256" i="16"/>
  <c r="D256" i="16"/>
  <c r="A257" i="16"/>
  <c r="J118" i="16"/>
  <c r="I118" i="16"/>
  <c r="C119" i="16" s="1"/>
  <c r="F118" i="16"/>
  <c r="G118" i="16" s="1"/>
  <c r="A287" i="18" l="1"/>
  <c r="D286" i="18"/>
  <c r="B286" i="18"/>
  <c r="H128" i="18"/>
  <c r="E128" i="18"/>
  <c r="H126" i="17"/>
  <c r="E126" i="17"/>
  <c r="A260" i="17"/>
  <c r="B259" i="17"/>
  <c r="D259" i="17"/>
  <c r="B257" i="16"/>
  <c r="D257" i="16"/>
  <c r="A258" i="16"/>
  <c r="E119" i="16"/>
  <c r="H119" i="16"/>
  <c r="B287" i="18" l="1"/>
  <c r="A288" i="18"/>
  <c r="D287" i="18"/>
  <c r="J128" i="18"/>
  <c r="I128" i="18"/>
  <c r="C129" i="18" s="1"/>
  <c r="F128" i="18"/>
  <c r="G128" i="18" s="1"/>
  <c r="J126" i="17"/>
  <c r="I126" i="17"/>
  <c r="C127" i="17" s="1"/>
  <c r="F126" i="17"/>
  <c r="G126" i="17" s="1"/>
  <c r="A261" i="17"/>
  <c r="B260" i="17"/>
  <c r="D260" i="17"/>
  <c r="A259" i="16"/>
  <c r="D258" i="16"/>
  <c r="B258" i="16"/>
  <c r="I119" i="16"/>
  <c r="C120" i="16" s="1"/>
  <c r="F119" i="16"/>
  <c r="G119" i="16" s="1"/>
  <c r="J119" i="16"/>
  <c r="B288" i="18" l="1"/>
  <c r="A289" i="18"/>
  <c r="D288" i="18"/>
  <c r="E129" i="18"/>
  <c r="H129" i="18"/>
  <c r="H127" i="17"/>
  <c r="E127" i="17"/>
  <c r="A262" i="17"/>
  <c r="B261" i="17"/>
  <c r="D261" i="17"/>
  <c r="B259" i="16"/>
  <c r="D259" i="16"/>
  <c r="A260" i="16"/>
  <c r="E120" i="16"/>
  <c r="H120" i="16"/>
  <c r="A290" i="18" l="1"/>
  <c r="D289" i="18"/>
  <c r="B289" i="18"/>
  <c r="I129" i="18"/>
  <c r="C130" i="18" s="1"/>
  <c r="F129" i="18"/>
  <c r="G129" i="18" s="1"/>
  <c r="J129" i="18"/>
  <c r="J127" i="17"/>
  <c r="F127" i="17"/>
  <c r="G127" i="17" s="1"/>
  <c r="I127" i="17"/>
  <c r="C128" i="17" s="1"/>
  <c r="A263" i="17"/>
  <c r="D262" i="17"/>
  <c r="B262" i="17"/>
  <c r="B260" i="16"/>
  <c r="D260" i="16"/>
  <c r="A261" i="16"/>
  <c r="I120" i="16"/>
  <c r="C121" i="16" s="1"/>
  <c r="F120" i="16"/>
  <c r="G120" i="16" s="1"/>
  <c r="J120" i="16"/>
  <c r="B290" i="18" l="1"/>
  <c r="D290" i="18"/>
  <c r="A291" i="18"/>
  <c r="E130" i="18"/>
  <c r="H130" i="18"/>
  <c r="H128" i="17"/>
  <c r="E128" i="17"/>
  <c r="D263" i="17"/>
  <c r="A264" i="17"/>
  <c r="B263" i="17"/>
  <c r="A262" i="16"/>
  <c r="D261" i="16"/>
  <c r="B261" i="16"/>
  <c r="E121" i="16"/>
  <c r="H121" i="16"/>
  <c r="B291" i="18" l="1"/>
  <c r="A292" i="18"/>
  <c r="D291" i="18"/>
  <c r="F130" i="18"/>
  <c r="G130" i="18" s="1"/>
  <c r="I130" i="18"/>
  <c r="C131" i="18" s="1"/>
  <c r="J130" i="18"/>
  <c r="J128" i="17"/>
  <c r="F128" i="17"/>
  <c r="G128" i="17" s="1"/>
  <c r="I128" i="17"/>
  <c r="C129" i="17" s="1"/>
  <c r="A265" i="17"/>
  <c r="D264" i="17"/>
  <c r="B264" i="17"/>
  <c r="D262" i="16"/>
  <c r="A263" i="16"/>
  <c r="B262" i="16"/>
  <c r="I121" i="16"/>
  <c r="C122" i="16" s="1"/>
  <c r="F121" i="16"/>
  <c r="G121" i="16" s="1"/>
  <c r="J121" i="16"/>
  <c r="A293" i="18" l="1"/>
  <c r="D292" i="18"/>
  <c r="B292" i="18"/>
  <c r="E131" i="18"/>
  <c r="H131" i="18"/>
  <c r="E129" i="17"/>
  <c r="H129" i="17"/>
  <c r="A266" i="17"/>
  <c r="D265" i="17"/>
  <c r="B265" i="17"/>
  <c r="A264" i="16"/>
  <c r="B263" i="16"/>
  <c r="D263" i="16"/>
  <c r="H122" i="16"/>
  <c r="E122" i="16"/>
  <c r="A294" i="18" l="1"/>
  <c r="D293" i="18"/>
  <c r="B293" i="18"/>
  <c r="F131" i="18"/>
  <c r="G131" i="18" s="1"/>
  <c r="I131" i="18"/>
  <c r="C132" i="18" s="1"/>
  <c r="J131" i="18"/>
  <c r="I129" i="17"/>
  <c r="C130" i="17" s="1"/>
  <c r="F129" i="17"/>
  <c r="G129" i="17" s="1"/>
  <c r="J129" i="17"/>
  <c r="B266" i="17"/>
  <c r="D266" i="17"/>
  <c r="A267" i="17"/>
  <c r="A265" i="16"/>
  <c r="D264" i="16"/>
  <c r="B264" i="16"/>
  <c r="J122" i="16"/>
  <c r="F122" i="16"/>
  <c r="G122" i="16" s="1"/>
  <c r="I122" i="16"/>
  <c r="C123" i="16" s="1"/>
  <c r="A295" i="18" l="1"/>
  <c r="D294" i="18"/>
  <c r="B294" i="18"/>
  <c r="E132" i="18"/>
  <c r="H132" i="18"/>
  <c r="E130" i="17"/>
  <c r="H130" i="17"/>
  <c r="A268" i="17"/>
  <c r="B267" i="17"/>
  <c r="D267" i="17"/>
  <c r="B265" i="16"/>
  <c r="A266" i="16"/>
  <c r="D265" i="16"/>
  <c r="E123" i="16"/>
  <c r="H123" i="16"/>
  <c r="A296" i="18" l="1"/>
  <c r="D295" i="18"/>
  <c r="B295" i="18"/>
  <c r="I132" i="18"/>
  <c r="C133" i="18" s="1"/>
  <c r="F132" i="18"/>
  <c r="G132" i="18" s="1"/>
  <c r="J132" i="18"/>
  <c r="I130" i="17"/>
  <c r="C131" i="17" s="1"/>
  <c r="F130" i="17"/>
  <c r="G130" i="17" s="1"/>
  <c r="J130" i="17"/>
  <c r="D268" i="17"/>
  <c r="A269" i="17"/>
  <c r="B268" i="17"/>
  <c r="B266" i="16"/>
  <c r="A267" i="16"/>
  <c r="D266" i="16"/>
  <c r="I123" i="16"/>
  <c r="C124" i="16" s="1"/>
  <c r="F123" i="16"/>
  <c r="G123" i="16" s="1"/>
  <c r="J123" i="16"/>
  <c r="A297" i="18" l="1"/>
  <c r="D296" i="18"/>
  <c r="B296" i="18"/>
  <c r="E133" i="18"/>
  <c r="H133" i="18"/>
  <c r="H131" i="17"/>
  <c r="E131" i="17"/>
  <c r="A270" i="17"/>
  <c r="B269" i="17"/>
  <c r="D269" i="17"/>
  <c r="B267" i="16"/>
  <c r="D267" i="16"/>
  <c r="A268" i="16"/>
  <c r="E124" i="16"/>
  <c r="H124" i="16"/>
  <c r="A298" i="18" l="1"/>
  <c r="D297" i="18"/>
  <c r="B297" i="18"/>
  <c r="I133" i="18"/>
  <c r="C134" i="18" s="1"/>
  <c r="F133" i="18"/>
  <c r="G133" i="18" s="1"/>
  <c r="J133" i="18"/>
  <c r="J131" i="17"/>
  <c r="F131" i="17"/>
  <c r="G131" i="17" s="1"/>
  <c r="I131" i="17"/>
  <c r="C132" i="17" s="1"/>
  <c r="D270" i="17"/>
  <c r="A271" i="17"/>
  <c r="B270" i="17"/>
  <c r="A269" i="16"/>
  <c r="B268" i="16"/>
  <c r="D268" i="16"/>
  <c r="I124" i="16"/>
  <c r="C125" i="16" s="1"/>
  <c r="F124" i="16"/>
  <c r="G124" i="16" s="1"/>
  <c r="J124" i="16"/>
  <c r="A299" i="18" l="1"/>
  <c r="D298" i="18"/>
  <c r="B298" i="18"/>
  <c r="E134" i="18"/>
  <c r="H134" i="18"/>
  <c r="E132" i="17"/>
  <c r="H132" i="17"/>
  <c r="A272" i="17"/>
  <c r="B271" i="17"/>
  <c r="D271" i="17"/>
  <c r="B269" i="16"/>
  <c r="D269" i="16"/>
  <c r="A270" i="16"/>
  <c r="E125" i="16"/>
  <c r="H125" i="16"/>
  <c r="A300" i="18" l="1"/>
  <c r="D299" i="18"/>
  <c r="B299" i="18"/>
  <c r="I134" i="18"/>
  <c r="C135" i="18" s="1"/>
  <c r="F134" i="18"/>
  <c r="G134" i="18" s="1"/>
  <c r="J134" i="18"/>
  <c r="F132" i="17"/>
  <c r="G132" i="17" s="1"/>
  <c r="I132" i="17"/>
  <c r="C133" i="17" s="1"/>
  <c r="J132" i="17"/>
  <c r="A273" i="17"/>
  <c r="B272" i="17"/>
  <c r="D272" i="17"/>
  <c r="A271" i="16"/>
  <c r="B270" i="16"/>
  <c r="D270" i="16"/>
  <c r="I125" i="16"/>
  <c r="C126" i="16" s="1"/>
  <c r="F125" i="16"/>
  <c r="G125" i="16" s="1"/>
  <c r="J125" i="16"/>
  <c r="A301" i="18" l="1"/>
  <c r="D300" i="18"/>
  <c r="B300" i="18"/>
  <c r="E135" i="18"/>
  <c r="H135" i="18"/>
  <c r="E133" i="17"/>
  <c r="H133" i="17"/>
  <c r="B273" i="17"/>
  <c r="A274" i="17"/>
  <c r="D273" i="17"/>
  <c r="D271" i="16"/>
  <c r="A272" i="16"/>
  <c r="B271" i="16"/>
  <c r="H126" i="16"/>
  <c r="E126" i="16"/>
  <c r="A302" i="18" l="1"/>
  <c r="D301" i="18"/>
  <c r="B301" i="18"/>
  <c r="F135" i="18"/>
  <c r="G135" i="18" s="1"/>
  <c r="I135" i="18"/>
  <c r="C136" i="18" s="1"/>
  <c r="J135" i="18"/>
  <c r="F133" i="17"/>
  <c r="G133" i="17" s="1"/>
  <c r="I133" i="17"/>
  <c r="C134" i="17" s="1"/>
  <c r="J133" i="17"/>
  <c r="A275" i="17"/>
  <c r="D274" i="17"/>
  <c r="B274" i="17"/>
  <c r="B272" i="16"/>
  <c r="D272" i="16"/>
  <c r="A273" i="16"/>
  <c r="J126" i="16"/>
  <c r="F126" i="16"/>
  <c r="G126" i="16" s="1"/>
  <c r="I126" i="16"/>
  <c r="C127" i="16" s="1"/>
  <c r="D302" i="18" l="1"/>
  <c r="B302" i="18"/>
  <c r="A303" i="18"/>
  <c r="E136" i="18"/>
  <c r="H136" i="18"/>
  <c r="H134" i="17"/>
  <c r="E134" i="17"/>
  <c r="D275" i="17"/>
  <c r="A276" i="17"/>
  <c r="B275" i="17"/>
  <c r="A274" i="16"/>
  <c r="B273" i="16"/>
  <c r="D273" i="16"/>
  <c r="E127" i="16"/>
  <c r="H127" i="16"/>
  <c r="D303" i="18" l="1"/>
  <c r="B303" i="18"/>
  <c r="A304" i="18"/>
  <c r="F136" i="18"/>
  <c r="G136" i="18" s="1"/>
  <c r="I136" i="18"/>
  <c r="C137" i="18" s="1"/>
  <c r="J136" i="18"/>
  <c r="J134" i="17"/>
  <c r="F134" i="17"/>
  <c r="G134" i="17" s="1"/>
  <c r="I134" i="17"/>
  <c r="C135" i="17" s="1"/>
  <c r="B276" i="17"/>
  <c r="D276" i="17"/>
  <c r="A277" i="17"/>
  <c r="A275" i="16"/>
  <c r="B274" i="16"/>
  <c r="D274" i="16"/>
  <c r="I127" i="16"/>
  <c r="C128" i="16" s="1"/>
  <c r="F127" i="16"/>
  <c r="G127" i="16" s="1"/>
  <c r="J127" i="16"/>
  <c r="B304" i="18" l="1"/>
  <c r="A305" i="18"/>
  <c r="D304" i="18"/>
  <c r="E137" i="18"/>
  <c r="H137" i="18"/>
  <c r="E135" i="17"/>
  <c r="H135" i="17"/>
  <c r="A278" i="17"/>
  <c r="B277" i="17"/>
  <c r="D277" i="17"/>
  <c r="D275" i="16"/>
  <c r="A276" i="16"/>
  <c r="B275" i="16"/>
  <c r="E128" i="16"/>
  <c r="H128" i="16"/>
  <c r="B305" i="18" l="1"/>
  <c r="A306" i="18"/>
  <c r="D305" i="18"/>
  <c r="F137" i="18"/>
  <c r="G137" i="18" s="1"/>
  <c r="I137" i="18"/>
  <c r="C138" i="18" s="1"/>
  <c r="J137" i="18"/>
  <c r="I135" i="17"/>
  <c r="C136" i="17" s="1"/>
  <c r="F135" i="17"/>
  <c r="G135" i="17" s="1"/>
  <c r="J135" i="17"/>
  <c r="A279" i="17"/>
  <c r="D278" i="17"/>
  <c r="B278" i="17"/>
  <c r="A277" i="16"/>
  <c r="B276" i="16"/>
  <c r="D276" i="16"/>
  <c r="I128" i="16"/>
  <c r="C129" i="16" s="1"/>
  <c r="F128" i="16"/>
  <c r="G128" i="16" s="1"/>
  <c r="J128" i="16"/>
  <c r="B306" i="18" l="1"/>
  <c r="A307" i="18"/>
  <c r="D306" i="18"/>
  <c r="E138" i="18"/>
  <c r="H138" i="18"/>
  <c r="H136" i="17"/>
  <c r="E136" i="17"/>
  <c r="D279" i="17"/>
  <c r="B279" i="17"/>
  <c r="A280" i="17"/>
  <c r="B277" i="16"/>
  <c r="A278" i="16"/>
  <c r="D277" i="16"/>
  <c r="H129" i="16"/>
  <c r="E129" i="16"/>
  <c r="D307" i="18" l="1"/>
  <c r="B307" i="18"/>
  <c r="A308" i="18"/>
  <c r="I138" i="18"/>
  <c r="C139" i="18" s="1"/>
  <c r="F138" i="18"/>
  <c r="G138" i="18" s="1"/>
  <c r="J138" i="18"/>
  <c r="J136" i="17"/>
  <c r="F136" i="17"/>
  <c r="G136" i="17" s="1"/>
  <c r="I136" i="17"/>
  <c r="C137" i="17" s="1"/>
  <c r="D280" i="17"/>
  <c r="B280" i="17"/>
  <c r="A281" i="17"/>
  <c r="B278" i="16"/>
  <c r="A279" i="16"/>
  <c r="D278" i="16"/>
  <c r="J129" i="16"/>
  <c r="F129" i="16"/>
  <c r="G129" i="16" s="1"/>
  <c r="I129" i="16"/>
  <c r="C130" i="16" s="1"/>
  <c r="B308" i="18" l="1"/>
  <c r="D308" i="18"/>
  <c r="A309" i="18"/>
  <c r="E139" i="18"/>
  <c r="H139" i="18"/>
  <c r="E137" i="17"/>
  <c r="H137" i="17"/>
  <c r="A282" i="17"/>
  <c r="B281" i="17"/>
  <c r="D281" i="17"/>
  <c r="A280" i="16"/>
  <c r="D279" i="16"/>
  <c r="B279" i="16"/>
  <c r="H130" i="16"/>
  <c r="E130" i="16"/>
  <c r="B309" i="18" l="1"/>
  <c r="D309" i="18"/>
  <c r="A310" i="18"/>
  <c r="F139" i="18"/>
  <c r="G139" i="18" s="1"/>
  <c r="I139" i="18"/>
  <c r="C140" i="18" s="1"/>
  <c r="J139" i="18"/>
  <c r="I137" i="17"/>
  <c r="C138" i="17" s="1"/>
  <c r="F137" i="17"/>
  <c r="G137" i="17" s="1"/>
  <c r="J137" i="17"/>
  <c r="A283" i="17"/>
  <c r="B282" i="17"/>
  <c r="D282" i="17"/>
  <c r="A281" i="16"/>
  <c r="D280" i="16"/>
  <c r="B280" i="16"/>
  <c r="J130" i="16"/>
  <c r="I130" i="16"/>
  <c r="C131" i="16" s="1"/>
  <c r="F130" i="16"/>
  <c r="G130" i="16" s="1"/>
  <c r="B310" i="18" l="1"/>
  <c r="A311" i="18"/>
  <c r="D310" i="18"/>
  <c r="E140" i="18"/>
  <c r="H140" i="18"/>
  <c r="H138" i="17"/>
  <c r="E138" i="17"/>
  <c r="B283" i="17"/>
  <c r="D283" i="17"/>
  <c r="A284" i="17"/>
  <c r="A282" i="16"/>
  <c r="D281" i="16"/>
  <c r="B281" i="16"/>
  <c r="E131" i="16"/>
  <c r="H131" i="16"/>
  <c r="D311" i="18" l="1"/>
  <c r="B311" i="18"/>
  <c r="A312" i="18"/>
  <c r="F140" i="18"/>
  <c r="G140" i="18" s="1"/>
  <c r="I140" i="18"/>
  <c r="C141" i="18" s="1"/>
  <c r="J140" i="18"/>
  <c r="J138" i="17"/>
  <c r="I138" i="17"/>
  <c r="C139" i="17" s="1"/>
  <c r="F138" i="17"/>
  <c r="G138" i="17" s="1"/>
  <c r="D284" i="17"/>
  <c r="A285" i="17"/>
  <c r="B284" i="17"/>
  <c r="D282" i="16"/>
  <c r="B282" i="16"/>
  <c r="A283" i="16"/>
  <c r="I131" i="16"/>
  <c r="C132" i="16" s="1"/>
  <c r="F131" i="16"/>
  <c r="G131" i="16" s="1"/>
  <c r="J131" i="16"/>
  <c r="B312" i="18" l="1"/>
  <c r="A313" i="18"/>
  <c r="D312" i="18"/>
  <c r="E141" i="18"/>
  <c r="H141" i="18"/>
  <c r="E139" i="17"/>
  <c r="H139" i="17"/>
  <c r="A286" i="17"/>
  <c r="D285" i="17"/>
  <c r="B285" i="17"/>
  <c r="D283" i="16"/>
  <c r="A284" i="16"/>
  <c r="B283" i="16"/>
  <c r="E132" i="16"/>
  <c r="H132" i="16"/>
  <c r="A314" i="18" l="1"/>
  <c r="D313" i="18"/>
  <c r="B313" i="18"/>
  <c r="F141" i="18"/>
  <c r="G141" i="18" s="1"/>
  <c r="I141" i="18"/>
  <c r="C142" i="18" s="1"/>
  <c r="J141" i="18"/>
  <c r="F139" i="17"/>
  <c r="G139" i="17" s="1"/>
  <c r="I139" i="17"/>
  <c r="C140" i="17" s="1"/>
  <c r="J139" i="17"/>
  <c r="A287" i="17"/>
  <c r="B286" i="17"/>
  <c r="D286" i="17"/>
  <c r="A285" i="16"/>
  <c r="D284" i="16"/>
  <c r="B284" i="16"/>
  <c r="I132" i="16"/>
  <c r="C133" i="16" s="1"/>
  <c r="F132" i="16"/>
  <c r="G132" i="16" s="1"/>
  <c r="J132" i="16"/>
  <c r="A315" i="18" l="1"/>
  <c r="D314" i="18"/>
  <c r="B314" i="18"/>
  <c r="E142" i="18"/>
  <c r="H142" i="18"/>
  <c r="E140" i="17"/>
  <c r="H140" i="17"/>
  <c r="A288" i="17"/>
  <c r="B287" i="17"/>
  <c r="D287" i="17"/>
  <c r="A286" i="16"/>
  <c r="D285" i="16"/>
  <c r="B285" i="16"/>
  <c r="H133" i="16"/>
  <c r="E133" i="16"/>
  <c r="A316" i="18" l="1"/>
  <c r="D315" i="18"/>
  <c r="B315" i="18"/>
  <c r="I142" i="18"/>
  <c r="C143" i="18" s="1"/>
  <c r="F142" i="18"/>
  <c r="G142" i="18" s="1"/>
  <c r="J142" i="18"/>
  <c r="F140" i="17"/>
  <c r="G140" i="17" s="1"/>
  <c r="I140" i="17"/>
  <c r="C141" i="17" s="1"/>
  <c r="J140" i="17"/>
  <c r="D288" i="17"/>
  <c r="B288" i="17"/>
  <c r="A289" i="17"/>
  <c r="A287" i="16"/>
  <c r="B286" i="16"/>
  <c r="D286" i="16"/>
  <c r="J133" i="16"/>
  <c r="F133" i="16"/>
  <c r="G133" i="16" s="1"/>
  <c r="I133" i="16"/>
  <c r="C134" i="16" s="1"/>
  <c r="A317" i="18" l="1"/>
  <c r="D316" i="18"/>
  <c r="B316" i="18"/>
  <c r="E143" i="18"/>
  <c r="H143" i="18"/>
  <c r="E141" i="17"/>
  <c r="H141" i="17"/>
  <c r="D289" i="17"/>
  <c r="A290" i="17"/>
  <c r="B289" i="17"/>
  <c r="A288" i="16"/>
  <c r="B287" i="16"/>
  <c r="D287" i="16"/>
  <c r="E134" i="16"/>
  <c r="H134" i="16"/>
  <c r="A318" i="18" l="1"/>
  <c r="D317" i="18"/>
  <c r="B317" i="18"/>
  <c r="F143" i="18"/>
  <c r="G143" i="18" s="1"/>
  <c r="I143" i="18"/>
  <c r="C144" i="18" s="1"/>
  <c r="J143" i="18"/>
  <c r="F141" i="17"/>
  <c r="G141" i="17" s="1"/>
  <c r="I141" i="17"/>
  <c r="C142" i="17" s="1"/>
  <c r="J141" i="17"/>
  <c r="D290" i="17"/>
  <c r="A291" i="17"/>
  <c r="B290" i="17"/>
  <c r="A289" i="16"/>
  <c r="B288" i="16"/>
  <c r="D288" i="16"/>
  <c r="I134" i="16"/>
  <c r="C135" i="16" s="1"/>
  <c r="F134" i="16"/>
  <c r="G134" i="16" s="1"/>
  <c r="J134" i="16"/>
  <c r="A319" i="18" l="1"/>
  <c r="D318" i="18"/>
  <c r="B318" i="18"/>
  <c r="E144" i="18"/>
  <c r="H144" i="18"/>
  <c r="H142" i="17"/>
  <c r="E142" i="17"/>
  <c r="A292" i="17"/>
  <c r="D291" i="17"/>
  <c r="B291" i="17"/>
  <c r="A290" i="16"/>
  <c r="B289" i="16"/>
  <c r="D289" i="16"/>
  <c r="H135" i="16"/>
  <c r="E135" i="16"/>
  <c r="A320" i="18" l="1"/>
  <c r="D319" i="18"/>
  <c r="B319" i="18"/>
  <c r="I144" i="18"/>
  <c r="C145" i="18" s="1"/>
  <c r="F144" i="18"/>
  <c r="G144" i="18" s="1"/>
  <c r="J144" i="18"/>
  <c r="J142" i="17"/>
  <c r="F142" i="17"/>
  <c r="G142" i="17" s="1"/>
  <c r="I142" i="17"/>
  <c r="C143" i="17" s="1"/>
  <c r="A293" i="17"/>
  <c r="D292" i="17"/>
  <c r="B292" i="17"/>
  <c r="A291" i="16"/>
  <c r="B290" i="16"/>
  <c r="D290" i="16"/>
  <c r="J135" i="16"/>
  <c r="F135" i="16"/>
  <c r="G135" i="16" s="1"/>
  <c r="I135" i="16"/>
  <c r="C136" i="16" s="1"/>
  <c r="A321" i="18" l="1"/>
  <c r="D320" i="18"/>
  <c r="B320" i="18"/>
  <c r="E145" i="18"/>
  <c r="H145" i="18"/>
  <c r="H143" i="17"/>
  <c r="E143" i="17"/>
  <c r="D293" i="17"/>
  <c r="B293" i="17"/>
  <c r="A294" i="17"/>
  <c r="D291" i="16"/>
  <c r="A292" i="16"/>
  <c r="B291" i="16"/>
  <c r="E136" i="16"/>
  <c r="H136" i="16"/>
  <c r="A322" i="18" l="1"/>
  <c r="D321" i="18"/>
  <c r="B321" i="18"/>
  <c r="I145" i="18"/>
  <c r="C146" i="18" s="1"/>
  <c r="F145" i="18"/>
  <c r="G145" i="18" s="1"/>
  <c r="J145" i="18"/>
  <c r="J143" i="17"/>
  <c r="F143" i="17"/>
  <c r="G143" i="17" s="1"/>
  <c r="I143" i="17"/>
  <c r="C144" i="17" s="1"/>
  <c r="B294" i="17"/>
  <c r="A295" i="17"/>
  <c r="D294" i="17"/>
  <c r="A293" i="16"/>
  <c r="D292" i="16"/>
  <c r="B292" i="16"/>
  <c r="I136" i="16"/>
  <c r="C137" i="16" s="1"/>
  <c r="F136" i="16"/>
  <c r="G136" i="16" s="1"/>
  <c r="J136" i="16"/>
  <c r="A323" i="18" l="1"/>
  <c r="D322" i="18"/>
  <c r="B322" i="18"/>
  <c r="E146" i="18"/>
  <c r="H146" i="18"/>
  <c r="H144" i="17"/>
  <c r="E144" i="17"/>
  <c r="D295" i="17"/>
  <c r="B295" i="17"/>
  <c r="A296" i="17"/>
  <c r="A294" i="16"/>
  <c r="D293" i="16"/>
  <c r="B293" i="16"/>
  <c r="H137" i="16"/>
  <c r="E137" i="16"/>
  <c r="A324" i="18" l="1"/>
  <c r="D323" i="18"/>
  <c r="B323" i="18"/>
  <c r="I146" i="18"/>
  <c r="C147" i="18" s="1"/>
  <c r="F146" i="18"/>
  <c r="G146" i="18" s="1"/>
  <c r="J146" i="18"/>
  <c r="J144" i="17"/>
  <c r="F144" i="17"/>
  <c r="G144" i="17" s="1"/>
  <c r="I144" i="17"/>
  <c r="C145" i="17" s="1"/>
  <c r="A297" i="17"/>
  <c r="B296" i="17"/>
  <c r="D296" i="17"/>
  <c r="A295" i="16"/>
  <c r="D294" i="16"/>
  <c r="B294" i="16"/>
  <c r="J137" i="16"/>
  <c r="I137" i="16"/>
  <c r="C138" i="16" s="1"/>
  <c r="F137" i="16"/>
  <c r="G137" i="16" s="1"/>
  <c r="A325" i="18" l="1"/>
  <c r="D324" i="18"/>
  <c r="B324" i="18"/>
  <c r="E147" i="18"/>
  <c r="H147" i="18"/>
  <c r="H145" i="17"/>
  <c r="E145" i="17"/>
  <c r="B297" i="17"/>
  <c r="A298" i="17"/>
  <c r="D297" i="17"/>
  <c r="B295" i="16"/>
  <c r="A296" i="16"/>
  <c r="D295" i="16"/>
  <c r="E138" i="16"/>
  <c r="H138" i="16"/>
  <c r="A326" i="18" l="1"/>
  <c r="D325" i="18"/>
  <c r="B325" i="18"/>
  <c r="I147" i="18"/>
  <c r="C148" i="18" s="1"/>
  <c r="F147" i="18"/>
  <c r="G147" i="18" s="1"/>
  <c r="J147" i="18"/>
  <c r="J145" i="17"/>
  <c r="I145" i="17"/>
  <c r="C146" i="17" s="1"/>
  <c r="F145" i="17"/>
  <c r="G145" i="17" s="1"/>
  <c r="B298" i="17"/>
  <c r="D298" i="17"/>
  <c r="A299" i="17"/>
  <c r="A297" i="16"/>
  <c r="D296" i="16"/>
  <c r="B296" i="16"/>
  <c r="F138" i="16"/>
  <c r="G138" i="16" s="1"/>
  <c r="I138" i="16"/>
  <c r="C139" i="16" s="1"/>
  <c r="J138" i="16"/>
  <c r="B326" i="18" l="1"/>
  <c r="D326" i="18"/>
  <c r="A327" i="18"/>
  <c r="E148" i="18"/>
  <c r="H148" i="18"/>
  <c r="H146" i="17"/>
  <c r="E146" i="17"/>
  <c r="A300" i="17"/>
  <c r="D299" i="17"/>
  <c r="B299" i="17"/>
  <c r="B297" i="16"/>
  <c r="A298" i="16"/>
  <c r="D297" i="16"/>
  <c r="E139" i="16"/>
  <c r="H139" i="16"/>
  <c r="A328" i="18" l="1"/>
  <c r="D327" i="18"/>
  <c r="B327" i="18"/>
  <c r="F148" i="18"/>
  <c r="G148" i="18" s="1"/>
  <c r="I148" i="18"/>
  <c r="C149" i="18" s="1"/>
  <c r="J148" i="18"/>
  <c r="J146" i="17"/>
  <c r="I146" i="17"/>
  <c r="C147" i="17" s="1"/>
  <c r="F146" i="17"/>
  <c r="G146" i="17" s="1"/>
  <c r="D300" i="17"/>
  <c r="A301" i="17"/>
  <c r="B300" i="17"/>
  <c r="A299" i="16"/>
  <c r="D298" i="16"/>
  <c r="B298" i="16"/>
  <c r="I139" i="16"/>
  <c r="C140" i="16" s="1"/>
  <c r="F139" i="16"/>
  <c r="G139" i="16" s="1"/>
  <c r="J139" i="16"/>
  <c r="A329" i="18" l="1"/>
  <c r="D328" i="18"/>
  <c r="B328" i="18"/>
  <c r="E149" i="18"/>
  <c r="H149" i="18"/>
  <c r="E147" i="17"/>
  <c r="H147" i="17"/>
  <c r="B301" i="17"/>
  <c r="A302" i="17"/>
  <c r="D301" i="17"/>
  <c r="D299" i="16"/>
  <c r="A300" i="16"/>
  <c r="B299" i="16"/>
  <c r="H140" i="16"/>
  <c r="E140" i="16"/>
  <c r="A330" i="18" l="1"/>
  <c r="D329" i="18"/>
  <c r="B329" i="18"/>
  <c r="F149" i="18"/>
  <c r="G149" i="18" s="1"/>
  <c r="I149" i="18"/>
  <c r="C150" i="18" s="1"/>
  <c r="J149" i="18"/>
  <c r="F147" i="17"/>
  <c r="G147" i="17" s="1"/>
  <c r="I147" i="17"/>
  <c r="C148" i="17" s="1"/>
  <c r="J147" i="17"/>
  <c r="B302" i="17"/>
  <c r="A303" i="17"/>
  <c r="D302" i="17"/>
  <c r="B300" i="16"/>
  <c r="A301" i="16"/>
  <c r="D300" i="16"/>
  <c r="J140" i="16"/>
  <c r="I140" i="16"/>
  <c r="C141" i="16" s="1"/>
  <c r="F140" i="16"/>
  <c r="G140" i="16" s="1"/>
  <c r="A331" i="18" l="1"/>
  <c r="D330" i="18"/>
  <c r="B330" i="18"/>
  <c r="E150" i="18"/>
  <c r="H150" i="18"/>
  <c r="H148" i="17"/>
  <c r="E148" i="17"/>
  <c r="A304" i="17"/>
  <c r="D303" i="17"/>
  <c r="B303" i="17"/>
  <c r="A302" i="16"/>
  <c r="D301" i="16"/>
  <c r="B301" i="16"/>
  <c r="E141" i="16"/>
  <c r="H141" i="16"/>
  <c r="D331" i="18" l="1"/>
  <c r="B331" i="18"/>
  <c r="A332" i="18"/>
  <c r="I150" i="18"/>
  <c r="C151" i="18" s="1"/>
  <c r="F150" i="18"/>
  <c r="G150" i="18" s="1"/>
  <c r="J150" i="18"/>
  <c r="J148" i="17"/>
  <c r="I148" i="17"/>
  <c r="C149" i="17" s="1"/>
  <c r="F148" i="17"/>
  <c r="G148" i="17" s="1"/>
  <c r="A305" i="17"/>
  <c r="B304" i="17"/>
  <c r="D304" i="17"/>
  <c r="D302" i="16"/>
  <c r="A303" i="16"/>
  <c r="B302" i="16"/>
  <c r="F141" i="16"/>
  <c r="G141" i="16" s="1"/>
  <c r="I141" i="16"/>
  <c r="C142" i="16" s="1"/>
  <c r="J141" i="16"/>
  <c r="B332" i="18" l="1"/>
  <c r="A333" i="18"/>
  <c r="D332" i="18"/>
  <c r="E151" i="18"/>
  <c r="H151" i="18"/>
  <c r="E149" i="17"/>
  <c r="H149" i="17"/>
  <c r="D305" i="17"/>
  <c r="B305" i="17"/>
  <c r="A306" i="17"/>
  <c r="D303" i="16"/>
  <c r="B303" i="16"/>
  <c r="A304" i="16"/>
  <c r="H142" i="16"/>
  <c r="E142" i="16"/>
  <c r="B333" i="18" l="1"/>
  <c r="A334" i="18"/>
  <c r="D333" i="18"/>
  <c r="F151" i="18"/>
  <c r="G151" i="18" s="1"/>
  <c r="I151" i="18"/>
  <c r="C152" i="18" s="1"/>
  <c r="J151" i="18"/>
  <c r="F149" i="17"/>
  <c r="G149" i="17" s="1"/>
  <c r="I149" i="17"/>
  <c r="C150" i="17" s="1"/>
  <c r="J149" i="17"/>
  <c r="D306" i="17"/>
  <c r="B306" i="17"/>
  <c r="A307" i="17"/>
  <c r="A305" i="16"/>
  <c r="B304" i="16"/>
  <c r="D304" i="16"/>
  <c r="J142" i="16"/>
  <c r="F142" i="16"/>
  <c r="G142" i="16" s="1"/>
  <c r="I142" i="16"/>
  <c r="C143" i="16" s="1"/>
  <c r="B334" i="18" l="1"/>
  <c r="A335" i="18"/>
  <c r="D334" i="18"/>
  <c r="E152" i="18"/>
  <c r="H152" i="18"/>
  <c r="H150" i="17"/>
  <c r="E150" i="17"/>
  <c r="A308" i="17"/>
  <c r="B307" i="17"/>
  <c r="D307" i="17"/>
  <c r="D305" i="16"/>
  <c r="B305" i="16"/>
  <c r="A306" i="16"/>
  <c r="H143" i="16"/>
  <c r="E143" i="16"/>
  <c r="B335" i="18" l="1"/>
  <c r="D335" i="18"/>
  <c r="A336" i="18"/>
  <c r="I152" i="18"/>
  <c r="C153" i="18" s="1"/>
  <c r="F152" i="18"/>
  <c r="G152" i="18" s="1"/>
  <c r="J152" i="18"/>
  <c r="J150" i="17"/>
  <c r="I150" i="17"/>
  <c r="C151" i="17" s="1"/>
  <c r="F150" i="17"/>
  <c r="G150" i="17" s="1"/>
  <c r="D308" i="17"/>
  <c r="A309" i="17"/>
  <c r="B308" i="17"/>
  <c r="D306" i="16"/>
  <c r="A307" i="16"/>
  <c r="B306" i="16"/>
  <c r="J143" i="16"/>
  <c r="I143" i="16"/>
  <c r="C144" i="16" s="1"/>
  <c r="F143" i="16"/>
  <c r="G143" i="16" s="1"/>
  <c r="B336" i="18" l="1"/>
  <c r="D336" i="18"/>
  <c r="A337" i="18"/>
  <c r="E153" i="18"/>
  <c r="H153" i="18"/>
  <c r="H151" i="17"/>
  <c r="E151" i="17"/>
  <c r="A310" i="17"/>
  <c r="D309" i="17"/>
  <c r="B309" i="17"/>
  <c r="A308" i="16"/>
  <c r="D307" i="16"/>
  <c r="B307" i="16"/>
  <c r="H144" i="16"/>
  <c r="E144" i="16"/>
  <c r="B337" i="18" l="1"/>
  <c r="D337" i="18"/>
  <c r="A338" i="18"/>
  <c r="F153" i="18"/>
  <c r="G153" i="18" s="1"/>
  <c r="I153" i="18"/>
  <c r="C154" i="18" s="1"/>
  <c r="J153" i="18"/>
  <c r="J151" i="17"/>
  <c r="I151" i="17"/>
  <c r="C152" i="17" s="1"/>
  <c r="F151" i="17"/>
  <c r="G151" i="17" s="1"/>
  <c r="A311" i="17"/>
  <c r="B310" i="17"/>
  <c r="D310" i="17"/>
  <c r="B308" i="16"/>
  <c r="D308" i="16"/>
  <c r="A309" i="16"/>
  <c r="J144" i="16"/>
  <c r="F144" i="16"/>
  <c r="G144" i="16" s="1"/>
  <c r="I144" i="16"/>
  <c r="C145" i="16" s="1"/>
  <c r="B338" i="18" l="1"/>
  <c r="D338" i="18"/>
  <c r="A339" i="18"/>
  <c r="E154" i="18"/>
  <c r="H154" i="18"/>
  <c r="E152" i="17"/>
  <c r="H152" i="17"/>
  <c r="A312" i="17"/>
  <c r="D311" i="17"/>
  <c r="B311" i="17"/>
  <c r="A310" i="16"/>
  <c r="D309" i="16"/>
  <c r="B309" i="16"/>
  <c r="E145" i="16"/>
  <c r="H145" i="16"/>
  <c r="B339" i="18" l="1"/>
  <c r="D339" i="18"/>
  <c r="A340" i="18"/>
  <c r="F154" i="18"/>
  <c r="G154" i="18" s="1"/>
  <c r="I154" i="18"/>
  <c r="C155" i="18" s="1"/>
  <c r="J154" i="18"/>
  <c r="F152" i="17"/>
  <c r="G152" i="17" s="1"/>
  <c r="I152" i="17"/>
  <c r="C153" i="17" s="1"/>
  <c r="J152" i="17"/>
  <c r="D312" i="17"/>
  <c r="A313" i="17"/>
  <c r="B312" i="17"/>
  <c r="D310" i="16"/>
  <c r="A311" i="16"/>
  <c r="B310" i="16"/>
  <c r="I145" i="16"/>
  <c r="C146" i="16" s="1"/>
  <c r="F145" i="16"/>
  <c r="G145" i="16" s="1"/>
  <c r="J145" i="16"/>
  <c r="B340" i="18" l="1"/>
  <c r="D340" i="18"/>
  <c r="A341" i="18"/>
  <c r="E155" i="18"/>
  <c r="H155" i="18"/>
  <c r="H153" i="17"/>
  <c r="E153" i="17"/>
  <c r="A314" i="17"/>
  <c r="D313" i="17"/>
  <c r="B313" i="17"/>
  <c r="A312" i="16"/>
  <c r="D311" i="16"/>
  <c r="B311" i="16"/>
  <c r="H146" i="16"/>
  <c r="E146" i="16"/>
  <c r="B341" i="18" l="1"/>
  <c r="D341" i="18"/>
  <c r="A342" i="18"/>
  <c r="F155" i="18"/>
  <c r="G155" i="18" s="1"/>
  <c r="I155" i="18"/>
  <c r="C156" i="18" s="1"/>
  <c r="J155" i="18"/>
  <c r="J153" i="17"/>
  <c r="F153" i="17"/>
  <c r="G153" i="17" s="1"/>
  <c r="I153" i="17"/>
  <c r="C154" i="17" s="1"/>
  <c r="A315" i="17"/>
  <c r="D314" i="17"/>
  <c r="B314" i="17"/>
  <c r="D312" i="16"/>
  <c r="A313" i="16"/>
  <c r="B312" i="16"/>
  <c r="J146" i="16"/>
  <c r="F146" i="16"/>
  <c r="G146" i="16" s="1"/>
  <c r="I146" i="16"/>
  <c r="C147" i="16" s="1"/>
  <c r="B342" i="18" l="1"/>
  <c r="D342" i="18"/>
  <c r="A343" i="18"/>
  <c r="E156" i="18"/>
  <c r="H156" i="18"/>
  <c r="E154" i="17"/>
  <c r="H154" i="17"/>
  <c r="A316" i="17"/>
  <c r="D315" i="17"/>
  <c r="B315" i="17"/>
  <c r="A314" i="16"/>
  <c r="D313" i="16"/>
  <c r="B313" i="16"/>
  <c r="E147" i="16"/>
  <c r="H147" i="16"/>
  <c r="B343" i="18" l="1"/>
  <c r="D343" i="18"/>
  <c r="A344" i="18"/>
  <c r="I156" i="18"/>
  <c r="C157" i="18" s="1"/>
  <c r="F156" i="18"/>
  <c r="G156" i="18" s="1"/>
  <c r="J156" i="18"/>
  <c r="I154" i="17"/>
  <c r="C155" i="17" s="1"/>
  <c r="F154" i="17"/>
  <c r="G154" i="17" s="1"/>
  <c r="J154" i="17"/>
  <c r="D316" i="17"/>
  <c r="A317" i="17"/>
  <c r="B316" i="17"/>
  <c r="D314" i="16"/>
  <c r="B314" i="16"/>
  <c r="A315" i="16"/>
  <c r="I147" i="16"/>
  <c r="C148" i="16" s="1"/>
  <c r="F147" i="16"/>
  <c r="G147" i="16" s="1"/>
  <c r="J147" i="16"/>
  <c r="D344" i="18" l="1"/>
  <c r="B344" i="18"/>
  <c r="A345" i="18"/>
  <c r="E157" i="18"/>
  <c r="H157" i="18"/>
  <c r="E155" i="17"/>
  <c r="H155" i="17"/>
  <c r="A318" i="17"/>
  <c r="D317" i="17"/>
  <c r="B317" i="17"/>
  <c r="A316" i="16"/>
  <c r="D315" i="16"/>
  <c r="B315" i="16"/>
  <c r="H148" i="16"/>
  <c r="E148" i="16"/>
  <c r="D345" i="18" l="1"/>
  <c r="B345" i="18"/>
  <c r="A346" i="18"/>
  <c r="I157" i="18"/>
  <c r="C158" i="18" s="1"/>
  <c r="F157" i="18"/>
  <c r="G157" i="18" s="1"/>
  <c r="J157" i="18"/>
  <c r="F155" i="17"/>
  <c r="G155" i="17" s="1"/>
  <c r="I155" i="17"/>
  <c r="C156" i="17" s="1"/>
  <c r="J155" i="17"/>
  <c r="D318" i="17"/>
  <c r="A319" i="17"/>
  <c r="B318" i="17"/>
  <c r="D316" i="16"/>
  <c r="A317" i="16"/>
  <c r="B316" i="16"/>
  <c r="J148" i="16"/>
  <c r="F148" i="16"/>
  <c r="G148" i="16" s="1"/>
  <c r="I148" i="16"/>
  <c r="C149" i="16" s="1"/>
  <c r="B346" i="18" l="1"/>
  <c r="D346" i="18"/>
  <c r="A347" i="18"/>
  <c r="E158" i="18"/>
  <c r="H158" i="18"/>
  <c r="H156" i="17"/>
  <c r="E156" i="17"/>
  <c r="A320" i="17"/>
  <c r="D319" i="17"/>
  <c r="B319" i="17"/>
  <c r="B317" i="16"/>
  <c r="A318" i="16"/>
  <c r="D317" i="16"/>
  <c r="E149" i="16"/>
  <c r="H149" i="16"/>
  <c r="B347" i="18" l="1"/>
  <c r="D347" i="18"/>
  <c r="A348" i="18"/>
  <c r="I158" i="18"/>
  <c r="C159" i="18" s="1"/>
  <c r="F158" i="18"/>
  <c r="G158" i="18" s="1"/>
  <c r="J158" i="18"/>
  <c r="J156" i="17"/>
  <c r="F156" i="17"/>
  <c r="G156" i="17" s="1"/>
  <c r="I156" i="17"/>
  <c r="C157" i="17" s="1"/>
  <c r="A321" i="17"/>
  <c r="D320" i="17"/>
  <c r="B320" i="17"/>
  <c r="D318" i="16"/>
  <c r="A319" i="16"/>
  <c r="B318" i="16"/>
  <c r="F149" i="16"/>
  <c r="G149" i="16" s="1"/>
  <c r="I149" i="16"/>
  <c r="C150" i="16" s="1"/>
  <c r="J149" i="16"/>
  <c r="B348" i="18" l="1"/>
  <c r="D348" i="18"/>
  <c r="A349" i="18"/>
  <c r="E159" i="18"/>
  <c r="H159" i="18"/>
  <c r="E157" i="17"/>
  <c r="H157" i="17"/>
  <c r="A322" i="17"/>
  <c r="B321" i="17"/>
  <c r="D321" i="17"/>
  <c r="B319" i="16"/>
  <c r="A320" i="16"/>
  <c r="D319" i="16"/>
  <c r="E150" i="16"/>
  <c r="H150" i="16"/>
  <c r="B349" i="18" l="1"/>
  <c r="A350" i="18"/>
  <c r="D349" i="18"/>
  <c r="F159" i="18"/>
  <c r="G159" i="18" s="1"/>
  <c r="I159" i="18"/>
  <c r="C160" i="18" s="1"/>
  <c r="J159" i="18"/>
  <c r="I157" i="17"/>
  <c r="C158" i="17" s="1"/>
  <c r="F157" i="17"/>
  <c r="G157" i="17" s="1"/>
  <c r="J157" i="17"/>
  <c r="B322" i="17"/>
  <c r="D322" i="17"/>
  <c r="A323" i="17"/>
  <c r="A321" i="16"/>
  <c r="D320" i="16"/>
  <c r="B320" i="16"/>
  <c r="F150" i="16"/>
  <c r="G150" i="16" s="1"/>
  <c r="I150" i="16"/>
  <c r="C151" i="16" s="1"/>
  <c r="J150" i="16"/>
  <c r="B350" i="18" l="1"/>
  <c r="D350" i="18"/>
  <c r="A351" i="18"/>
  <c r="E160" i="18"/>
  <c r="H160" i="18"/>
  <c r="E158" i="17"/>
  <c r="H158" i="17"/>
  <c r="A324" i="17"/>
  <c r="B323" i="17"/>
  <c r="D323" i="17"/>
  <c r="A322" i="16"/>
  <c r="D321" i="16"/>
  <c r="B321" i="16"/>
  <c r="E151" i="16"/>
  <c r="H151" i="16"/>
  <c r="B351" i="18" l="1"/>
  <c r="D351" i="18"/>
  <c r="A352" i="18"/>
  <c r="I160" i="18"/>
  <c r="C161" i="18" s="1"/>
  <c r="F160" i="18"/>
  <c r="G160" i="18" s="1"/>
  <c r="J160" i="18"/>
  <c r="F158" i="17"/>
  <c r="G158" i="17" s="1"/>
  <c r="I158" i="17"/>
  <c r="C159" i="17" s="1"/>
  <c r="J158" i="17"/>
  <c r="A325" i="17"/>
  <c r="D324" i="17"/>
  <c r="B324" i="17"/>
  <c r="A323" i="16"/>
  <c r="D322" i="16"/>
  <c r="B322" i="16"/>
  <c r="I151" i="16"/>
  <c r="C152" i="16" s="1"/>
  <c r="F151" i="16"/>
  <c r="G151" i="16" s="1"/>
  <c r="J151" i="16"/>
  <c r="B352" i="18" l="1"/>
  <c r="D352" i="18"/>
  <c r="A353" i="18"/>
  <c r="E161" i="18"/>
  <c r="H161" i="18"/>
  <c r="H159" i="17"/>
  <c r="E159" i="17"/>
  <c r="D325" i="17"/>
  <c r="A326" i="17"/>
  <c r="B325" i="17"/>
  <c r="D323" i="16"/>
  <c r="A324" i="16"/>
  <c r="B323" i="16"/>
  <c r="E152" i="16"/>
  <c r="H152" i="16"/>
  <c r="B353" i="18" l="1"/>
  <c r="A354" i="18"/>
  <c r="D353" i="18"/>
  <c r="I161" i="18"/>
  <c r="C162" i="18" s="1"/>
  <c r="F161" i="18"/>
  <c r="G161" i="18" s="1"/>
  <c r="J161" i="18"/>
  <c r="J159" i="17"/>
  <c r="F159" i="17"/>
  <c r="G159" i="17" s="1"/>
  <c r="I159" i="17"/>
  <c r="C160" i="17" s="1"/>
  <c r="A327" i="17"/>
  <c r="D326" i="17"/>
  <c r="B326" i="17"/>
  <c r="A325" i="16"/>
  <c r="D324" i="16"/>
  <c r="B324" i="16"/>
  <c r="F152" i="16"/>
  <c r="G152" i="16" s="1"/>
  <c r="I152" i="16"/>
  <c r="C153" i="16" s="1"/>
  <c r="J152" i="16"/>
  <c r="B354" i="18" l="1"/>
  <c r="A355" i="18"/>
  <c r="D354" i="18"/>
  <c r="E162" i="18"/>
  <c r="H162" i="18"/>
  <c r="E160" i="17"/>
  <c r="H160" i="17"/>
  <c r="A328" i="17"/>
  <c r="B327" i="17"/>
  <c r="D327" i="17"/>
  <c r="A326" i="16"/>
  <c r="B325" i="16"/>
  <c r="D325" i="16"/>
  <c r="E153" i="16"/>
  <c r="H153" i="16"/>
  <c r="B355" i="18" l="1"/>
  <c r="D355" i="18"/>
  <c r="A356" i="18"/>
  <c r="I162" i="18"/>
  <c r="C163" i="18" s="1"/>
  <c r="F162" i="18"/>
  <c r="G162" i="18" s="1"/>
  <c r="J162" i="18"/>
  <c r="I160" i="17"/>
  <c r="C161" i="17" s="1"/>
  <c r="F160" i="17"/>
  <c r="G160" i="17" s="1"/>
  <c r="J160" i="17"/>
  <c r="A329" i="17"/>
  <c r="D328" i="17"/>
  <c r="B328" i="17"/>
  <c r="A327" i="16"/>
  <c r="B326" i="16"/>
  <c r="D326" i="16"/>
  <c r="I153" i="16"/>
  <c r="C154" i="16" s="1"/>
  <c r="F153" i="16"/>
  <c r="G153" i="16" s="1"/>
  <c r="J153" i="16"/>
  <c r="B356" i="18" l="1"/>
  <c r="D356" i="18"/>
  <c r="A357" i="18"/>
  <c r="E163" i="18"/>
  <c r="H163" i="18"/>
  <c r="E161" i="17"/>
  <c r="H161" i="17"/>
  <c r="A330" i="17"/>
  <c r="D329" i="17"/>
  <c r="B329" i="17"/>
  <c r="A328" i="16"/>
  <c r="D327" i="16"/>
  <c r="B327" i="16"/>
  <c r="E154" i="16"/>
  <c r="H154" i="16"/>
  <c r="B357" i="18" l="1"/>
  <c r="D357" i="18"/>
  <c r="A358" i="18"/>
  <c r="F163" i="18"/>
  <c r="G163" i="18" s="1"/>
  <c r="I163" i="18"/>
  <c r="C164" i="18" s="1"/>
  <c r="J163" i="18"/>
  <c r="F161" i="17"/>
  <c r="G161" i="17" s="1"/>
  <c r="I161" i="17"/>
  <c r="C162" i="17" s="1"/>
  <c r="J161" i="17"/>
  <c r="D330" i="17"/>
  <c r="B330" i="17"/>
  <c r="A331" i="17"/>
  <c r="A329" i="16"/>
  <c r="B328" i="16"/>
  <c r="D328" i="16"/>
  <c r="I154" i="16"/>
  <c r="C155" i="16" s="1"/>
  <c r="F154" i="16"/>
  <c r="G154" i="16" s="1"/>
  <c r="J154" i="16"/>
  <c r="B358" i="18" l="1"/>
  <c r="D358" i="18"/>
  <c r="A359" i="18"/>
  <c r="E164" i="18"/>
  <c r="H164" i="18"/>
  <c r="E162" i="17"/>
  <c r="H162" i="17"/>
  <c r="A332" i="17"/>
  <c r="B331" i="17"/>
  <c r="D331" i="17"/>
  <c r="D329" i="16"/>
  <c r="A330" i="16"/>
  <c r="B329" i="16"/>
  <c r="E155" i="16"/>
  <c r="H155" i="16"/>
  <c r="B359" i="18" l="1"/>
  <c r="D359" i="18"/>
  <c r="A360" i="18"/>
  <c r="I164" i="18"/>
  <c r="C165" i="18" s="1"/>
  <c r="F164" i="18"/>
  <c r="G164" i="18" s="1"/>
  <c r="J164" i="18"/>
  <c r="I162" i="17"/>
  <c r="C163" i="17" s="1"/>
  <c r="F162" i="17"/>
  <c r="G162" i="17" s="1"/>
  <c r="J162" i="17"/>
  <c r="B332" i="17"/>
  <c r="A333" i="17"/>
  <c r="D332" i="17"/>
  <c r="A331" i="16"/>
  <c r="B330" i="16"/>
  <c r="D330" i="16"/>
  <c r="I155" i="16"/>
  <c r="C156" i="16" s="1"/>
  <c r="F155" i="16"/>
  <c r="G155" i="16" s="1"/>
  <c r="J155" i="16"/>
  <c r="D360" i="18" l="1"/>
  <c r="B360" i="18"/>
  <c r="A361" i="18"/>
  <c r="H165" i="18"/>
  <c r="E165" i="18"/>
  <c r="E163" i="17"/>
  <c r="H163" i="17"/>
  <c r="A334" i="17"/>
  <c r="B333" i="17"/>
  <c r="D333" i="17"/>
  <c r="D331" i="16"/>
  <c r="B331" i="16"/>
  <c r="A332" i="16"/>
  <c r="E156" i="16"/>
  <c r="H156" i="16"/>
  <c r="B361" i="18" l="1"/>
  <c r="D361" i="18"/>
  <c r="A362" i="18"/>
  <c r="J165" i="18"/>
  <c r="F165" i="18"/>
  <c r="G165" i="18" s="1"/>
  <c r="I165" i="18"/>
  <c r="C166" i="18" s="1"/>
  <c r="I163" i="17"/>
  <c r="C164" i="17" s="1"/>
  <c r="F163" i="17"/>
  <c r="G163" i="17" s="1"/>
  <c r="J163" i="17"/>
  <c r="D334" i="17"/>
  <c r="A335" i="17"/>
  <c r="B334" i="17"/>
  <c r="A333" i="16"/>
  <c r="D332" i="16"/>
  <c r="B332" i="16"/>
  <c r="F156" i="16"/>
  <c r="G156" i="16" s="1"/>
  <c r="I156" i="16"/>
  <c r="C157" i="16" s="1"/>
  <c r="J156" i="16"/>
  <c r="B362" i="18" l="1"/>
  <c r="D362" i="18"/>
  <c r="A363" i="18"/>
  <c r="E166" i="18"/>
  <c r="H166" i="18"/>
  <c r="E164" i="17"/>
  <c r="H164" i="17"/>
  <c r="A336" i="17"/>
  <c r="B335" i="17"/>
  <c r="D335" i="17"/>
  <c r="A334" i="16"/>
  <c r="B333" i="16"/>
  <c r="D333" i="16"/>
  <c r="H157" i="16"/>
  <c r="E157" i="16"/>
  <c r="B363" i="18" l="1"/>
  <c r="D363" i="18"/>
  <c r="A364" i="18"/>
  <c r="I166" i="18"/>
  <c r="C167" i="18" s="1"/>
  <c r="F166" i="18"/>
  <c r="G166" i="18" s="1"/>
  <c r="J166" i="18"/>
  <c r="F164" i="17"/>
  <c r="G164" i="17" s="1"/>
  <c r="I164" i="17"/>
  <c r="C165" i="17" s="1"/>
  <c r="J164" i="17"/>
  <c r="D336" i="17"/>
  <c r="B336" i="17"/>
  <c r="A337" i="17"/>
  <c r="A335" i="16"/>
  <c r="D334" i="16"/>
  <c r="B334" i="16"/>
  <c r="J157" i="16"/>
  <c r="F157" i="16"/>
  <c r="G157" i="16" s="1"/>
  <c r="I157" i="16"/>
  <c r="C158" i="16" s="1"/>
  <c r="B364" i="18" l="1"/>
  <c r="D364" i="18"/>
  <c r="A365" i="18"/>
  <c r="E167" i="18"/>
  <c r="H167" i="18"/>
  <c r="E165" i="17"/>
  <c r="H165" i="17"/>
  <c r="B337" i="17"/>
  <c r="D337" i="17"/>
  <c r="A338" i="17"/>
  <c r="D335" i="16"/>
  <c r="A336" i="16"/>
  <c r="B335" i="16"/>
  <c r="H158" i="16"/>
  <c r="E158" i="16"/>
  <c r="B365" i="18" l="1"/>
  <c r="D365" i="18"/>
  <c r="A366" i="18"/>
  <c r="I167" i="18"/>
  <c r="C168" i="18" s="1"/>
  <c r="F167" i="18"/>
  <c r="G167" i="18" s="1"/>
  <c r="J167" i="18"/>
  <c r="I165" i="17"/>
  <c r="C166" i="17" s="1"/>
  <c r="F165" i="17"/>
  <c r="G165" i="17" s="1"/>
  <c r="J165" i="17"/>
  <c r="A339" i="17"/>
  <c r="D338" i="17"/>
  <c r="B338" i="17"/>
  <c r="B336" i="16"/>
  <c r="A337" i="16"/>
  <c r="D336" i="16"/>
  <c r="J158" i="16"/>
  <c r="F158" i="16"/>
  <c r="G158" i="16" s="1"/>
  <c r="I158" i="16"/>
  <c r="C159" i="16" s="1"/>
  <c r="B366" i="18" l="1"/>
  <c r="D366" i="18"/>
  <c r="A367" i="18"/>
  <c r="H168" i="18"/>
  <c r="E168" i="18"/>
  <c r="H166" i="17"/>
  <c r="E166" i="17"/>
  <c r="A340" i="17"/>
  <c r="B339" i="17"/>
  <c r="D339" i="17"/>
  <c r="A338" i="16"/>
  <c r="B337" i="16"/>
  <c r="D337" i="16"/>
  <c r="H159" i="16"/>
  <c r="E159" i="16"/>
  <c r="B367" i="18" l="1"/>
  <c r="D367" i="18"/>
  <c r="A368" i="18"/>
  <c r="J168" i="18"/>
  <c r="I168" i="18"/>
  <c r="C169" i="18" s="1"/>
  <c r="F168" i="18"/>
  <c r="G168" i="18" s="1"/>
  <c r="J166" i="17"/>
  <c r="F166" i="17"/>
  <c r="G166" i="17" s="1"/>
  <c r="I166" i="17"/>
  <c r="C167" i="17" s="1"/>
  <c r="A341" i="17"/>
  <c r="D340" i="17"/>
  <c r="B340" i="17"/>
  <c r="A339" i="16"/>
  <c r="D338" i="16"/>
  <c r="B338" i="16"/>
  <c r="J159" i="16"/>
  <c r="F159" i="16"/>
  <c r="G159" i="16" s="1"/>
  <c r="I159" i="16"/>
  <c r="C160" i="16" s="1"/>
  <c r="B368" i="18" l="1"/>
  <c r="D368" i="18"/>
  <c r="A369" i="18"/>
  <c r="E169" i="18"/>
  <c r="H169" i="18"/>
  <c r="H167" i="17"/>
  <c r="E167" i="17"/>
  <c r="A342" i="17"/>
  <c r="D341" i="17"/>
  <c r="B341" i="17"/>
  <c r="D339" i="16"/>
  <c r="A340" i="16"/>
  <c r="B339" i="16"/>
  <c r="E160" i="16"/>
  <c r="H160" i="16"/>
  <c r="B369" i="18" l="1"/>
  <c r="D369" i="18"/>
  <c r="A370" i="18"/>
  <c r="F169" i="18"/>
  <c r="G169" i="18" s="1"/>
  <c r="I169" i="18"/>
  <c r="C170" i="18" s="1"/>
  <c r="J169" i="18"/>
  <c r="J167" i="17"/>
  <c r="F167" i="17"/>
  <c r="G167" i="17" s="1"/>
  <c r="I167" i="17"/>
  <c r="C168" i="17" s="1"/>
  <c r="B342" i="17"/>
  <c r="A343" i="17"/>
  <c r="D342" i="17"/>
  <c r="D340" i="16"/>
  <c r="A341" i="16"/>
  <c r="B340" i="16"/>
  <c r="F160" i="16"/>
  <c r="G160" i="16" s="1"/>
  <c r="I160" i="16"/>
  <c r="C161" i="16" s="1"/>
  <c r="J160" i="16"/>
  <c r="B370" i="18" l="1"/>
  <c r="D370" i="18"/>
  <c r="A371" i="18"/>
  <c r="E170" i="18"/>
  <c r="H170" i="18"/>
  <c r="E168" i="17"/>
  <c r="H168" i="17"/>
  <c r="D343" i="17"/>
  <c r="A344" i="17"/>
  <c r="B343" i="17"/>
  <c r="A342" i="16"/>
  <c r="D341" i="16"/>
  <c r="B341" i="16"/>
  <c r="E161" i="16"/>
  <c r="H161" i="16"/>
  <c r="D371" i="18" l="1"/>
  <c r="B371" i="18"/>
  <c r="A372" i="18"/>
  <c r="F170" i="18"/>
  <c r="G170" i="18" s="1"/>
  <c r="I170" i="18"/>
  <c r="C171" i="18" s="1"/>
  <c r="J170" i="18"/>
  <c r="I168" i="17"/>
  <c r="C169" i="17" s="1"/>
  <c r="F168" i="17"/>
  <c r="G168" i="17" s="1"/>
  <c r="J168" i="17"/>
  <c r="A345" i="17"/>
  <c r="D344" i="17"/>
  <c r="B344" i="17"/>
  <c r="A343" i="16"/>
  <c r="B342" i="16"/>
  <c r="D342" i="16"/>
  <c r="F161" i="16"/>
  <c r="G161" i="16" s="1"/>
  <c r="I161" i="16"/>
  <c r="C162" i="16" s="1"/>
  <c r="J161" i="16"/>
  <c r="D372" i="18" l="1"/>
  <c r="B372" i="18"/>
  <c r="A373" i="18"/>
  <c r="E171" i="18"/>
  <c r="H171" i="18"/>
  <c r="E169" i="17"/>
  <c r="H169" i="17"/>
  <c r="D345" i="17"/>
  <c r="B345" i="17"/>
  <c r="A346" i="17"/>
  <c r="D343" i="16"/>
  <c r="A344" i="16"/>
  <c r="B343" i="16"/>
  <c r="H162" i="16"/>
  <c r="E162" i="16"/>
  <c r="D373" i="18" l="1"/>
  <c r="B373" i="18"/>
  <c r="A374" i="18"/>
  <c r="I171" i="18"/>
  <c r="C172" i="18" s="1"/>
  <c r="F171" i="18"/>
  <c r="G171" i="18" s="1"/>
  <c r="J171" i="18"/>
  <c r="F169" i="17"/>
  <c r="G169" i="17" s="1"/>
  <c r="I169" i="17"/>
  <c r="C170" i="17" s="1"/>
  <c r="J169" i="17"/>
  <c r="D346" i="17"/>
  <c r="B346" i="17"/>
  <c r="A347" i="17"/>
  <c r="A345" i="16"/>
  <c r="D344" i="16"/>
  <c r="B344" i="16"/>
  <c r="J162" i="16"/>
  <c r="I162" i="16"/>
  <c r="C163" i="16" s="1"/>
  <c r="F162" i="16"/>
  <c r="G162" i="16" s="1"/>
  <c r="D374" i="18" l="1"/>
  <c r="B374" i="18"/>
  <c r="A375" i="18"/>
  <c r="E172" i="18"/>
  <c r="H172" i="18"/>
  <c r="H170" i="17"/>
  <c r="E170" i="17"/>
  <c r="D347" i="17"/>
  <c r="A348" i="17"/>
  <c r="B347" i="17"/>
  <c r="D345" i="16"/>
  <c r="A346" i="16"/>
  <c r="B345" i="16"/>
  <c r="H163" i="16"/>
  <c r="E163" i="16"/>
  <c r="B375" i="18" l="1"/>
  <c r="D375" i="18"/>
  <c r="A376" i="18"/>
  <c r="F172" i="18"/>
  <c r="G172" i="18" s="1"/>
  <c r="I172" i="18"/>
  <c r="C173" i="18" s="1"/>
  <c r="J172" i="18"/>
  <c r="J170" i="17"/>
  <c r="F170" i="17"/>
  <c r="G170" i="17" s="1"/>
  <c r="I170" i="17"/>
  <c r="C171" i="17" s="1"/>
  <c r="D348" i="17"/>
  <c r="B348" i="17"/>
  <c r="A349" i="17"/>
  <c r="B346" i="16"/>
  <c r="A347" i="16"/>
  <c r="D346" i="16"/>
  <c r="J163" i="16"/>
  <c r="F163" i="16"/>
  <c r="G163" i="16" s="1"/>
  <c r="I163" i="16"/>
  <c r="C164" i="16" s="1"/>
  <c r="D376" i="18" l="1"/>
  <c r="B376" i="18"/>
  <c r="A377" i="18"/>
  <c r="E173" i="18"/>
  <c r="H173" i="18"/>
  <c r="E171" i="17"/>
  <c r="H171" i="17"/>
  <c r="A350" i="17"/>
  <c r="B349" i="17"/>
  <c r="D349" i="17"/>
  <c r="A348" i="16"/>
  <c r="D347" i="16"/>
  <c r="B347" i="16"/>
  <c r="E164" i="16"/>
  <c r="H164" i="16"/>
  <c r="D377" i="18" l="1"/>
  <c r="B377" i="18"/>
  <c r="A378" i="18"/>
  <c r="F173" i="18"/>
  <c r="G173" i="18" s="1"/>
  <c r="I173" i="18"/>
  <c r="C174" i="18" s="1"/>
  <c r="J173" i="18"/>
  <c r="F171" i="17"/>
  <c r="G171" i="17" s="1"/>
  <c r="I171" i="17"/>
  <c r="C172" i="17" s="1"/>
  <c r="J171" i="17"/>
  <c r="B350" i="17"/>
  <c r="D350" i="17"/>
  <c r="A351" i="17"/>
  <c r="A349" i="16"/>
  <c r="B348" i="16"/>
  <c r="D348" i="16"/>
  <c r="F164" i="16"/>
  <c r="G164" i="16" s="1"/>
  <c r="I164" i="16"/>
  <c r="C165" i="16" s="1"/>
  <c r="J164" i="16"/>
  <c r="D378" i="18" l="1"/>
  <c r="B378" i="18"/>
  <c r="A379" i="18"/>
  <c r="E174" i="18"/>
  <c r="H174" i="18"/>
  <c r="H172" i="17"/>
  <c r="E172" i="17"/>
  <c r="A352" i="17"/>
  <c r="D351" i="17"/>
  <c r="B351" i="17"/>
  <c r="D349" i="16"/>
  <c r="A350" i="16"/>
  <c r="B349" i="16"/>
  <c r="H165" i="16"/>
  <c r="E165" i="16"/>
  <c r="B379" i="18" l="1"/>
  <c r="D379" i="18"/>
  <c r="A380" i="18"/>
  <c r="F174" i="18"/>
  <c r="G174" i="18" s="1"/>
  <c r="I174" i="18"/>
  <c r="C175" i="18" s="1"/>
  <c r="J174" i="18"/>
  <c r="J172" i="17"/>
  <c r="F172" i="17"/>
  <c r="G172" i="17" s="1"/>
  <c r="I172" i="17"/>
  <c r="C173" i="17" s="1"/>
  <c r="D352" i="17"/>
  <c r="B352" i="17"/>
  <c r="A353" i="17"/>
  <c r="A351" i="16"/>
  <c r="D350" i="16"/>
  <c r="B350" i="16"/>
  <c r="J165" i="16"/>
  <c r="I165" i="16"/>
  <c r="C166" i="16" s="1"/>
  <c r="F165" i="16"/>
  <c r="G165" i="16" s="1"/>
  <c r="B380" i="18" l="1"/>
  <c r="D380" i="18"/>
  <c r="A381" i="18"/>
  <c r="E175" i="18"/>
  <c r="H175" i="18"/>
  <c r="E173" i="17"/>
  <c r="H173" i="17"/>
  <c r="D353" i="17"/>
  <c r="B353" i="17"/>
  <c r="A354" i="17"/>
  <c r="A352" i="16"/>
  <c r="B351" i="16"/>
  <c r="D351" i="16"/>
  <c r="H166" i="16"/>
  <c r="E166" i="16"/>
  <c r="D381" i="18" l="1"/>
  <c r="B381" i="18"/>
  <c r="A382" i="18"/>
  <c r="F175" i="18"/>
  <c r="G175" i="18" s="1"/>
  <c r="I175" i="18"/>
  <c r="C176" i="18" s="1"/>
  <c r="J175" i="18"/>
  <c r="I173" i="17"/>
  <c r="C174" i="17" s="1"/>
  <c r="F173" i="17"/>
  <c r="G173" i="17" s="1"/>
  <c r="J173" i="17"/>
  <c r="D354" i="17"/>
  <c r="A355" i="17"/>
  <c r="B354" i="17"/>
  <c r="A353" i="16"/>
  <c r="D352" i="16"/>
  <c r="B352" i="16"/>
  <c r="J166" i="16"/>
  <c r="F166" i="16"/>
  <c r="G166" i="16" s="1"/>
  <c r="I166" i="16"/>
  <c r="C167" i="16" s="1"/>
  <c r="B382" i="18" l="1"/>
  <c r="D382" i="18"/>
  <c r="A383" i="18"/>
  <c r="E176" i="18"/>
  <c r="H176" i="18"/>
  <c r="E174" i="17"/>
  <c r="H174" i="17"/>
  <c r="D355" i="17"/>
  <c r="A356" i="17"/>
  <c r="B355" i="17"/>
  <c r="B353" i="16"/>
  <c r="A354" i="16"/>
  <c r="D353" i="16"/>
  <c r="E167" i="16"/>
  <c r="H167" i="16"/>
  <c r="D383" i="18" l="1"/>
  <c r="B383" i="18"/>
  <c r="A384" i="18"/>
  <c r="I176" i="18"/>
  <c r="C177" i="18" s="1"/>
  <c r="F176" i="18"/>
  <c r="G176" i="18" s="1"/>
  <c r="J176" i="18"/>
  <c r="I174" i="17"/>
  <c r="C175" i="17" s="1"/>
  <c r="F174" i="17"/>
  <c r="G174" i="17" s="1"/>
  <c r="J174" i="17"/>
  <c r="B356" i="17"/>
  <c r="A357" i="17"/>
  <c r="D356" i="17"/>
  <c r="D354" i="16"/>
  <c r="B354" i="16"/>
  <c r="A355" i="16"/>
  <c r="F167" i="16"/>
  <c r="G167" i="16" s="1"/>
  <c r="I167" i="16"/>
  <c r="C168" i="16" s="1"/>
  <c r="J167" i="16"/>
  <c r="B384" i="18" l="1"/>
  <c r="D384" i="18"/>
  <c r="A385" i="18"/>
  <c r="E177" i="18"/>
  <c r="H177" i="18"/>
  <c r="H175" i="17"/>
  <c r="E175" i="17"/>
  <c r="D357" i="17"/>
  <c r="A358" i="17"/>
  <c r="B357" i="17"/>
  <c r="A356" i="16"/>
  <c r="B355" i="16"/>
  <c r="D355" i="16"/>
  <c r="E168" i="16"/>
  <c r="H168" i="16"/>
  <c r="B385" i="18" l="1"/>
  <c r="D385" i="18"/>
  <c r="A386" i="18"/>
  <c r="F177" i="18"/>
  <c r="G177" i="18" s="1"/>
  <c r="I177" i="18"/>
  <c r="C178" i="18" s="1"/>
  <c r="J177" i="18"/>
  <c r="J175" i="17"/>
  <c r="I175" i="17"/>
  <c r="C176" i="17" s="1"/>
  <c r="F175" i="17"/>
  <c r="G175" i="17" s="1"/>
  <c r="B358" i="17"/>
  <c r="A359" i="17"/>
  <c r="D358" i="17"/>
  <c r="B356" i="16"/>
  <c r="A357" i="16"/>
  <c r="D356" i="16"/>
  <c r="F168" i="16"/>
  <c r="G168" i="16" s="1"/>
  <c r="I168" i="16"/>
  <c r="C169" i="16" s="1"/>
  <c r="J168" i="16"/>
  <c r="B386" i="18" l="1"/>
  <c r="D386" i="18"/>
  <c r="A387" i="18"/>
  <c r="E178" i="18"/>
  <c r="H178" i="18"/>
  <c r="E176" i="17"/>
  <c r="H176" i="17"/>
  <c r="A360" i="17"/>
  <c r="D359" i="17"/>
  <c r="B359" i="17"/>
  <c r="B357" i="16"/>
  <c r="A358" i="16"/>
  <c r="D357" i="16"/>
  <c r="E169" i="16"/>
  <c r="H169" i="16"/>
  <c r="B387" i="18" l="1"/>
  <c r="D387" i="18"/>
  <c r="A388" i="18"/>
  <c r="F178" i="18"/>
  <c r="G178" i="18" s="1"/>
  <c r="I178" i="18"/>
  <c r="C179" i="18" s="1"/>
  <c r="J178" i="18"/>
  <c r="I176" i="17"/>
  <c r="C177" i="17" s="1"/>
  <c r="F176" i="17"/>
  <c r="G176" i="17" s="1"/>
  <c r="J176" i="17"/>
  <c r="D360" i="17"/>
  <c r="A361" i="17"/>
  <c r="B360" i="17"/>
  <c r="B358" i="16"/>
  <c r="A359" i="16"/>
  <c r="D358" i="16"/>
  <c r="F169" i="16"/>
  <c r="G169" i="16" s="1"/>
  <c r="I169" i="16"/>
  <c r="C170" i="16" s="1"/>
  <c r="J169" i="16"/>
  <c r="D388" i="18" l="1"/>
  <c r="B388" i="18"/>
  <c r="A389" i="18"/>
  <c r="E179" i="18"/>
  <c r="H179" i="18"/>
  <c r="E177" i="17"/>
  <c r="H177" i="17"/>
  <c r="D361" i="17"/>
  <c r="B361" i="17"/>
  <c r="A362" i="17"/>
  <c r="D359" i="16"/>
  <c r="A360" i="16"/>
  <c r="B359" i="16"/>
  <c r="H170" i="16"/>
  <c r="E170" i="16"/>
  <c r="B389" i="18" l="1"/>
  <c r="D389" i="18"/>
  <c r="A390" i="18"/>
  <c r="I179" i="18"/>
  <c r="C180" i="18" s="1"/>
  <c r="F179" i="18"/>
  <c r="G179" i="18" s="1"/>
  <c r="J179" i="18"/>
  <c r="I177" i="17"/>
  <c r="C178" i="17" s="1"/>
  <c r="F177" i="17"/>
  <c r="G177" i="17" s="1"/>
  <c r="J177" i="17"/>
  <c r="A363" i="17"/>
  <c r="B362" i="17"/>
  <c r="D362" i="17"/>
  <c r="A361" i="16"/>
  <c r="B360" i="16"/>
  <c r="D360" i="16"/>
  <c r="J170" i="16"/>
  <c r="I170" i="16"/>
  <c r="C171" i="16" s="1"/>
  <c r="F170" i="16"/>
  <c r="G170" i="16" s="1"/>
  <c r="D390" i="18" l="1"/>
  <c r="B390" i="18"/>
  <c r="A391" i="18"/>
  <c r="E180" i="18"/>
  <c r="H180" i="18"/>
  <c r="E178" i="17"/>
  <c r="H178" i="17"/>
  <c r="D363" i="17"/>
  <c r="B363" i="17"/>
  <c r="A364" i="17"/>
  <c r="B361" i="16"/>
  <c r="A362" i="16"/>
  <c r="D361" i="16"/>
  <c r="E171" i="16"/>
  <c r="H171" i="16"/>
  <c r="B391" i="18" l="1"/>
  <c r="D391" i="18"/>
  <c r="A392" i="18"/>
  <c r="F180" i="18"/>
  <c r="G180" i="18" s="1"/>
  <c r="I180" i="18"/>
  <c r="C181" i="18" s="1"/>
  <c r="J180" i="18"/>
  <c r="I178" i="17"/>
  <c r="C179" i="17" s="1"/>
  <c r="F178" i="17"/>
  <c r="G178" i="17" s="1"/>
  <c r="J178" i="17"/>
  <c r="B364" i="17"/>
  <c r="D364" i="17"/>
  <c r="A365" i="17"/>
  <c r="A363" i="16"/>
  <c r="D362" i="16"/>
  <c r="B362" i="16"/>
  <c r="F171" i="16"/>
  <c r="G171" i="16" s="1"/>
  <c r="I171" i="16"/>
  <c r="C172" i="16" s="1"/>
  <c r="J171" i="16"/>
  <c r="D392" i="18" l="1"/>
  <c r="B392" i="18"/>
  <c r="A393" i="18"/>
  <c r="E181" i="18"/>
  <c r="H181" i="18"/>
  <c r="H179" i="17"/>
  <c r="E179" i="17"/>
  <c r="A366" i="17"/>
  <c r="D365" i="17"/>
  <c r="B365" i="17"/>
  <c r="B363" i="16"/>
  <c r="A364" i="16"/>
  <c r="D363" i="16"/>
  <c r="H172" i="16"/>
  <c r="E172" i="16"/>
  <c r="D393" i="18" l="1"/>
  <c r="B393" i="18"/>
  <c r="A394" i="18"/>
  <c r="F181" i="18"/>
  <c r="G181" i="18" s="1"/>
  <c r="I181" i="18"/>
  <c r="C182" i="18" s="1"/>
  <c r="J181" i="18"/>
  <c r="J179" i="17"/>
  <c r="I179" i="17"/>
  <c r="C180" i="17" s="1"/>
  <c r="F179" i="17"/>
  <c r="G179" i="17" s="1"/>
  <c r="D366" i="17"/>
  <c r="B366" i="17"/>
  <c r="A367" i="17"/>
  <c r="A365" i="16"/>
  <c r="D364" i="16"/>
  <c r="B364" i="16"/>
  <c r="J172" i="16"/>
  <c r="I172" i="16"/>
  <c r="C173" i="16" s="1"/>
  <c r="F172" i="16"/>
  <c r="G172" i="16" s="1"/>
  <c r="D394" i="18" l="1"/>
  <c r="B394" i="18"/>
  <c r="A395" i="18"/>
  <c r="E182" i="18"/>
  <c r="H182" i="18"/>
  <c r="E180" i="17"/>
  <c r="H180" i="17"/>
  <c r="A368" i="17"/>
  <c r="B367" i="17"/>
  <c r="D367" i="17"/>
  <c r="A366" i="16"/>
  <c r="B365" i="16"/>
  <c r="D365" i="16"/>
  <c r="H173" i="16"/>
  <c r="E173" i="16"/>
  <c r="B395" i="18" l="1"/>
  <c r="D395" i="18"/>
  <c r="A396" i="18"/>
  <c r="I182" i="18"/>
  <c r="C183" i="18" s="1"/>
  <c r="F182" i="18"/>
  <c r="G182" i="18" s="1"/>
  <c r="J182" i="18"/>
  <c r="F180" i="17"/>
  <c r="G180" i="17" s="1"/>
  <c r="I180" i="17"/>
  <c r="C181" i="17" s="1"/>
  <c r="J180" i="17"/>
  <c r="B368" i="17"/>
  <c r="A369" i="17"/>
  <c r="D368" i="17"/>
  <c r="B366" i="16"/>
  <c r="A367" i="16"/>
  <c r="D366" i="16"/>
  <c r="J173" i="16"/>
  <c r="I173" i="16"/>
  <c r="C174" i="16" s="1"/>
  <c r="F173" i="16"/>
  <c r="G173" i="16" s="1"/>
  <c r="D396" i="18" l="1"/>
  <c r="B396" i="18"/>
  <c r="A397" i="18"/>
  <c r="H183" i="18"/>
  <c r="E183" i="18"/>
  <c r="H181" i="17"/>
  <c r="E181" i="17"/>
  <c r="B369" i="17"/>
  <c r="D369" i="17"/>
  <c r="A370" i="17"/>
  <c r="A368" i="16"/>
  <c r="B367" i="16"/>
  <c r="D367" i="16"/>
  <c r="E174" i="16"/>
  <c r="H174" i="16"/>
  <c r="B397" i="18" l="1"/>
  <c r="D397" i="18"/>
  <c r="A398" i="18"/>
  <c r="J183" i="18"/>
  <c r="F183" i="18"/>
  <c r="G183" i="18" s="1"/>
  <c r="I183" i="18"/>
  <c r="C184" i="18" s="1"/>
  <c r="J181" i="17"/>
  <c r="F181" i="17"/>
  <c r="G181" i="17" s="1"/>
  <c r="I181" i="17"/>
  <c r="C182" i="17" s="1"/>
  <c r="B370" i="17"/>
  <c r="D370" i="17"/>
  <c r="A371" i="17"/>
  <c r="B368" i="16"/>
  <c r="A369" i="16"/>
  <c r="D368" i="16"/>
  <c r="F174" i="16"/>
  <c r="G174" i="16" s="1"/>
  <c r="I174" i="16"/>
  <c r="C175" i="16" s="1"/>
  <c r="J174" i="16"/>
  <c r="B398" i="18" l="1"/>
  <c r="D398" i="18"/>
  <c r="A399" i="18"/>
  <c r="E184" i="18"/>
  <c r="H184" i="18"/>
  <c r="H182" i="17"/>
  <c r="E182" i="17"/>
  <c r="B371" i="17"/>
  <c r="A372" i="17"/>
  <c r="D371" i="17"/>
  <c r="A370" i="16"/>
  <c r="B369" i="16"/>
  <c r="D369" i="16"/>
  <c r="E175" i="16"/>
  <c r="H175" i="16"/>
  <c r="B399" i="18" l="1"/>
  <c r="D399" i="18"/>
  <c r="A400" i="18"/>
  <c r="I184" i="18"/>
  <c r="C185" i="18" s="1"/>
  <c r="F184" i="18"/>
  <c r="G184" i="18" s="1"/>
  <c r="J184" i="18"/>
  <c r="J182" i="17"/>
  <c r="I182" i="17"/>
  <c r="C183" i="17" s="1"/>
  <c r="F182" i="17"/>
  <c r="G182" i="17" s="1"/>
  <c r="D372" i="17"/>
  <c r="B372" i="17"/>
  <c r="A373" i="17"/>
  <c r="D370" i="16"/>
  <c r="B370" i="16"/>
  <c r="A371" i="16"/>
  <c r="I175" i="16"/>
  <c r="C176" i="16" s="1"/>
  <c r="F175" i="16"/>
  <c r="G175" i="16" s="1"/>
  <c r="J175" i="16"/>
  <c r="D400" i="18" l="1"/>
  <c r="B400" i="18"/>
  <c r="A401" i="18"/>
  <c r="E185" i="18"/>
  <c r="H185" i="18"/>
  <c r="E183" i="17"/>
  <c r="H183" i="17"/>
  <c r="A374" i="17"/>
  <c r="D373" i="17"/>
  <c r="B373" i="17"/>
  <c r="B371" i="16"/>
  <c r="A372" i="16"/>
  <c r="D371" i="16"/>
  <c r="H176" i="16"/>
  <c r="E176" i="16"/>
  <c r="D401" i="18" l="1"/>
  <c r="B401" i="18"/>
  <c r="A402" i="18"/>
  <c r="I185" i="18"/>
  <c r="C186" i="18" s="1"/>
  <c r="F185" i="18"/>
  <c r="G185" i="18" s="1"/>
  <c r="J185" i="18"/>
  <c r="I183" i="17"/>
  <c r="C184" i="17" s="1"/>
  <c r="F183" i="17"/>
  <c r="G183" i="17" s="1"/>
  <c r="J183" i="17"/>
  <c r="B374" i="17"/>
  <c r="D374" i="17"/>
  <c r="A375" i="17"/>
  <c r="A373" i="16"/>
  <c r="D372" i="16"/>
  <c r="B372" i="16"/>
  <c r="J176" i="16"/>
  <c r="F176" i="16"/>
  <c r="G176" i="16" s="1"/>
  <c r="I176" i="16"/>
  <c r="C177" i="16" s="1"/>
  <c r="B402" i="18" l="1"/>
  <c r="D402" i="18"/>
  <c r="A403" i="18"/>
  <c r="E186" i="18"/>
  <c r="H186" i="18"/>
  <c r="H184" i="17"/>
  <c r="E184" i="17"/>
  <c r="A376" i="17"/>
  <c r="B375" i="17"/>
  <c r="D375" i="17"/>
  <c r="A374" i="16"/>
  <c r="D373" i="16"/>
  <c r="B373" i="16"/>
  <c r="H177" i="16"/>
  <c r="E177" i="16"/>
  <c r="D403" i="18" l="1"/>
  <c r="B403" i="18"/>
  <c r="A404" i="18"/>
  <c r="F186" i="18"/>
  <c r="G186" i="18" s="1"/>
  <c r="I186" i="18"/>
  <c r="C187" i="18" s="1"/>
  <c r="J186" i="18"/>
  <c r="J184" i="17"/>
  <c r="F184" i="17"/>
  <c r="G184" i="17" s="1"/>
  <c r="I184" i="17"/>
  <c r="C185" i="17" s="1"/>
  <c r="D376" i="17"/>
  <c r="B376" i="17"/>
  <c r="A377" i="17"/>
  <c r="A375" i="16"/>
  <c r="D374" i="16"/>
  <c r="B374" i="16"/>
  <c r="J177" i="16"/>
  <c r="I177" i="16"/>
  <c r="C178" i="16" s="1"/>
  <c r="F177" i="16"/>
  <c r="G177" i="16" s="1"/>
  <c r="D404" i="18" l="1"/>
  <c r="B404" i="18"/>
  <c r="A405" i="18"/>
  <c r="E187" i="18"/>
  <c r="H187" i="18"/>
  <c r="E185" i="17"/>
  <c r="H185" i="17"/>
  <c r="A378" i="17"/>
  <c r="B377" i="17"/>
  <c r="D377" i="17"/>
  <c r="B375" i="16"/>
  <c r="D375" i="16"/>
  <c r="A376" i="16"/>
  <c r="H178" i="16"/>
  <c r="E178" i="16"/>
  <c r="D405" i="18" l="1"/>
  <c r="B405" i="18"/>
  <c r="A406" i="18"/>
  <c r="F187" i="18"/>
  <c r="G187" i="18" s="1"/>
  <c r="I187" i="18"/>
  <c r="C188" i="18" s="1"/>
  <c r="J187" i="18"/>
  <c r="I185" i="17"/>
  <c r="C186" i="17" s="1"/>
  <c r="F185" i="17"/>
  <c r="G185" i="17" s="1"/>
  <c r="J185" i="17"/>
  <c r="A379" i="17"/>
  <c r="B378" i="17"/>
  <c r="D378" i="17"/>
  <c r="D376" i="16"/>
  <c r="A377" i="16"/>
  <c r="B376" i="16"/>
  <c r="J178" i="16"/>
  <c r="F178" i="16"/>
  <c r="G178" i="16" s="1"/>
  <c r="I178" i="16"/>
  <c r="C179" i="16" s="1"/>
  <c r="D406" i="18" l="1"/>
  <c r="B406" i="18"/>
  <c r="A407" i="18"/>
  <c r="E188" i="18"/>
  <c r="H188" i="18"/>
  <c r="E186" i="17"/>
  <c r="H186" i="17"/>
  <c r="A380" i="17"/>
  <c r="B379" i="17"/>
  <c r="D379" i="17"/>
  <c r="D377" i="16"/>
  <c r="A378" i="16"/>
  <c r="B377" i="16"/>
  <c r="H179" i="16"/>
  <c r="E179" i="16"/>
  <c r="D407" i="18" l="1"/>
  <c r="B407" i="18"/>
  <c r="A408" i="18"/>
  <c r="F188" i="18"/>
  <c r="G188" i="18" s="1"/>
  <c r="I188" i="18"/>
  <c r="C189" i="18" s="1"/>
  <c r="J188" i="18"/>
  <c r="F186" i="17"/>
  <c r="G186" i="17" s="1"/>
  <c r="I186" i="17"/>
  <c r="C187" i="17" s="1"/>
  <c r="J186" i="17"/>
  <c r="A381" i="17"/>
  <c r="D380" i="17"/>
  <c r="B380" i="17"/>
  <c r="A379" i="16"/>
  <c r="B378" i="16"/>
  <c r="D378" i="16"/>
  <c r="J179" i="16"/>
  <c r="I179" i="16"/>
  <c r="C180" i="16" s="1"/>
  <c r="F179" i="16"/>
  <c r="G179" i="16" s="1"/>
  <c r="B408" i="18" l="1"/>
  <c r="D408" i="18"/>
  <c r="A409" i="18"/>
  <c r="E189" i="18"/>
  <c r="H189" i="18"/>
  <c r="E187" i="17"/>
  <c r="H187" i="17"/>
  <c r="A382" i="17"/>
  <c r="D381" i="17"/>
  <c r="B381" i="17"/>
  <c r="A380" i="16"/>
  <c r="D379" i="16"/>
  <c r="B379" i="16"/>
  <c r="E180" i="16"/>
  <c r="H180" i="16"/>
  <c r="D409" i="18" l="1"/>
  <c r="B409" i="18"/>
  <c r="A410" i="18"/>
  <c r="F189" i="18"/>
  <c r="G189" i="18" s="1"/>
  <c r="I189" i="18"/>
  <c r="C190" i="18" s="1"/>
  <c r="J189" i="18"/>
  <c r="F187" i="17"/>
  <c r="G187" i="17" s="1"/>
  <c r="I187" i="17"/>
  <c r="C188" i="17" s="1"/>
  <c r="J187" i="17"/>
  <c r="A383" i="17"/>
  <c r="D382" i="17"/>
  <c r="B382" i="17"/>
  <c r="A381" i="16"/>
  <c r="B380" i="16"/>
  <c r="D380" i="16"/>
  <c r="I180" i="16"/>
  <c r="C181" i="16" s="1"/>
  <c r="F180" i="16"/>
  <c r="G180" i="16" s="1"/>
  <c r="J180" i="16"/>
  <c r="D410" i="18" l="1"/>
  <c r="B410" i="18"/>
  <c r="A411" i="18"/>
  <c r="E190" i="18"/>
  <c r="H190" i="18"/>
  <c r="E188" i="17"/>
  <c r="H188" i="17"/>
  <c r="A384" i="17"/>
  <c r="D383" i="17"/>
  <c r="B383" i="17"/>
  <c r="A382" i="16"/>
  <c r="B381" i="16"/>
  <c r="D381" i="16"/>
  <c r="H181" i="16"/>
  <c r="E181" i="16"/>
  <c r="B411" i="18" l="1"/>
  <c r="D411" i="18"/>
  <c r="A412" i="18"/>
  <c r="F190" i="18"/>
  <c r="G190" i="18" s="1"/>
  <c r="I190" i="18"/>
  <c r="C191" i="18" s="1"/>
  <c r="J190" i="18"/>
  <c r="F188" i="17"/>
  <c r="G188" i="17" s="1"/>
  <c r="I188" i="17"/>
  <c r="C189" i="17" s="1"/>
  <c r="J188" i="17"/>
  <c r="D384" i="17"/>
  <c r="B384" i="17"/>
  <c r="A385" i="17"/>
  <c r="D382" i="16"/>
  <c r="A383" i="16"/>
  <c r="B382" i="16"/>
  <c r="J181" i="16"/>
  <c r="I181" i="16"/>
  <c r="C182" i="16" s="1"/>
  <c r="F181" i="16"/>
  <c r="G181" i="16" s="1"/>
  <c r="D412" i="18" l="1"/>
  <c r="B412" i="18"/>
  <c r="A413" i="18"/>
  <c r="E191" i="18"/>
  <c r="H191" i="18"/>
  <c r="E189" i="17"/>
  <c r="H189" i="17"/>
  <c r="D385" i="17"/>
  <c r="A386" i="17"/>
  <c r="B385" i="17"/>
  <c r="B383" i="16"/>
  <c r="A384" i="16"/>
  <c r="D383" i="16"/>
  <c r="H182" i="16"/>
  <c r="E182" i="16"/>
  <c r="D413" i="18" l="1"/>
  <c r="B413" i="18"/>
  <c r="A414" i="18"/>
  <c r="F191" i="18"/>
  <c r="G191" i="18" s="1"/>
  <c r="I191" i="18"/>
  <c r="C192" i="18" s="1"/>
  <c r="J191" i="18"/>
  <c r="I189" i="17"/>
  <c r="C190" i="17" s="1"/>
  <c r="F189" i="17"/>
  <c r="G189" i="17" s="1"/>
  <c r="J189" i="17"/>
  <c r="A387" i="17"/>
  <c r="D386" i="17"/>
  <c r="B386" i="17"/>
  <c r="A385" i="16"/>
  <c r="D384" i="16"/>
  <c r="B384" i="16"/>
  <c r="J182" i="16"/>
  <c r="F182" i="16"/>
  <c r="G182" i="16" s="1"/>
  <c r="I182" i="16"/>
  <c r="C183" i="16" s="1"/>
  <c r="D414" i="18" l="1"/>
  <c r="B414" i="18"/>
  <c r="A415" i="18"/>
  <c r="E192" i="18"/>
  <c r="H192" i="18"/>
  <c r="H190" i="17"/>
  <c r="E190" i="17"/>
  <c r="A388" i="17"/>
  <c r="B387" i="17"/>
  <c r="D387" i="17"/>
  <c r="A386" i="16"/>
  <c r="D385" i="16"/>
  <c r="B385" i="16"/>
  <c r="E183" i="16"/>
  <c r="H183" i="16"/>
  <c r="B415" i="18" l="1"/>
  <c r="D415" i="18"/>
  <c r="A416" i="18"/>
  <c r="F192" i="18"/>
  <c r="G192" i="18" s="1"/>
  <c r="I192" i="18"/>
  <c r="C193" i="18" s="1"/>
  <c r="J192" i="18"/>
  <c r="J190" i="17"/>
  <c r="I190" i="17"/>
  <c r="C191" i="17" s="1"/>
  <c r="F190" i="17"/>
  <c r="G190" i="17" s="1"/>
  <c r="D388" i="17"/>
  <c r="B388" i="17"/>
  <c r="A389" i="17"/>
  <c r="A387" i="16"/>
  <c r="B386" i="16"/>
  <c r="D386" i="16"/>
  <c r="I183" i="16"/>
  <c r="C184" i="16" s="1"/>
  <c r="F183" i="16"/>
  <c r="G183" i="16" s="1"/>
  <c r="J183" i="16"/>
  <c r="D416" i="18" l="1"/>
  <c r="B416" i="18"/>
  <c r="A417" i="18"/>
  <c r="E193" i="18"/>
  <c r="H193" i="18"/>
  <c r="E191" i="17"/>
  <c r="H191" i="17"/>
  <c r="A390" i="17"/>
  <c r="D389" i="17"/>
  <c r="B389" i="17"/>
  <c r="A388" i="16"/>
  <c r="D387" i="16"/>
  <c r="B387" i="16"/>
  <c r="E184" i="16"/>
  <c r="H184" i="16"/>
  <c r="B417" i="18" l="1"/>
  <c r="D417" i="18"/>
  <c r="A418" i="18"/>
  <c r="F193" i="18"/>
  <c r="G193" i="18" s="1"/>
  <c r="I193" i="18"/>
  <c r="C194" i="18" s="1"/>
  <c r="J193" i="18"/>
  <c r="F191" i="17"/>
  <c r="G191" i="17" s="1"/>
  <c r="I191" i="17"/>
  <c r="C192" i="17" s="1"/>
  <c r="J191" i="17"/>
  <c r="D390" i="17"/>
  <c r="A391" i="17"/>
  <c r="B390" i="17"/>
  <c r="A389" i="16"/>
  <c r="D388" i="16"/>
  <c r="B388" i="16"/>
  <c r="I184" i="16"/>
  <c r="C185" i="16" s="1"/>
  <c r="F184" i="16"/>
  <c r="G184" i="16" s="1"/>
  <c r="J184" i="16"/>
  <c r="B418" i="18" l="1"/>
  <c r="D418" i="18"/>
  <c r="A419" i="18"/>
  <c r="E194" i="18"/>
  <c r="H194" i="18"/>
  <c r="H192" i="17"/>
  <c r="E192" i="17"/>
  <c r="A392" i="17"/>
  <c r="D391" i="17"/>
  <c r="B391" i="17"/>
  <c r="A390" i="16"/>
  <c r="D389" i="16"/>
  <c r="B389" i="16"/>
  <c r="E185" i="16"/>
  <c r="H185" i="16"/>
  <c r="D419" i="18" l="1"/>
  <c r="B419" i="18"/>
  <c r="A420" i="18"/>
  <c r="I194" i="18"/>
  <c r="C195" i="18" s="1"/>
  <c r="F194" i="18"/>
  <c r="G194" i="18" s="1"/>
  <c r="J194" i="18"/>
  <c r="J192" i="17"/>
  <c r="I192" i="17"/>
  <c r="C193" i="17" s="1"/>
  <c r="F192" i="17"/>
  <c r="G192" i="17" s="1"/>
  <c r="B392" i="17"/>
  <c r="D392" i="17"/>
  <c r="A393" i="17"/>
  <c r="A391" i="16"/>
  <c r="B390" i="16"/>
  <c r="D390" i="16"/>
  <c r="F185" i="16"/>
  <c r="G185" i="16" s="1"/>
  <c r="I185" i="16"/>
  <c r="C186" i="16" s="1"/>
  <c r="J185" i="16"/>
  <c r="D420" i="18" l="1"/>
  <c r="B420" i="18"/>
  <c r="A421" i="18"/>
  <c r="H195" i="18"/>
  <c r="E195" i="18"/>
  <c r="H193" i="17"/>
  <c r="E193" i="17"/>
  <c r="A394" i="17"/>
  <c r="D393" i="17"/>
  <c r="B393" i="17"/>
  <c r="A392" i="16"/>
  <c r="B391" i="16"/>
  <c r="D391" i="16"/>
  <c r="H186" i="16"/>
  <c r="E186" i="16"/>
  <c r="D421" i="18" l="1"/>
  <c r="B421" i="18"/>
  <c r="A422" i="18"/>
  <c r="J195" i="18"/>
  <c r="I195" i="18"/>
  <c r="C196" i="18" s="1"/>
  <c r="F195" i="18"/>
  <c r="G195" i="18" s="1"/>
  <c r="J193" i="17"/>
  <c r="F193" i="17"/>
  <c r="G193" i="17" s="1"/>
  <c r="I193" i="17"/>
  <c r="C194" i="17" s="1"/>
  <c r="B394" i="17"/>
  <c r="A395" i="17"/>
  <c r="D394" i="17"/>
  <c r="B392" i="16"/>
  <c r="A393" i="16"/>
  <c r="D392" i="16"/>
  <c r="J186" i="16"/>
  <c r="F186" i="16"/>
  <c r="G186" i="16" s="1"/>
  <c r="I186" i="16"/>
  <c r="C187" i="16" s="1"/>
  <c r="B422" i="18" l="1"/>
  <c r="D422" i="18"/>
  <c r="A423" i="18"/>
  <c r="H196" i="18"/>
  <c r="E196" i="18"/>
  <c r="E194" i="17"/>
  <c r="H194" i="17"/>
  <c r="D395" i="17"/>
  <c r="A396" i="17"/>
  <c r="B395" i="17"/>
  <c r="A394" i="16"/>
  <c r="D393" i="16"/>
  <c r="B393" i="16"/>
  <c r="H187" i="16"/>
  <c r="E187" i="16"/>
  <c r="D423" i="18" l="1"/>
  <c r="B423" i="18"/>
  <c r="A424" i="18"/>
  <c r="J196" i="18"/>
  <c r="I196" i="18"/>
  <c r="C197" i="18" s="1"/>
  <c r="F196" i="18"/>
  <c r="G196" i="18" s="1"/>
  <c r="I194" i="17"/>
  <c r="C195" i="17" s="1"/>
  <c r="F194" i="17"/>
  <c r="G194" i="17" s="1"/>
  <c r="J194" i="17"/>
  <c r="A397" i="17"/>
  <c r="B396" i="17"/>
  <c r="D396" i="17"/>
  <c r="D394" i="16"/>
  <c r="A395" i="16"/>
  <c r="B394" i="16"/>
  <c r="J187" i="16"/>
  <c r="I187" i="16"/>
  <c r="C188" i="16" s="1"/>
  <c r="F187" i="16"/>
  <c r="G187" i="16" s="1"/>
  <c r="D424" i="18" l="1"/>
  <c r="B424" i="18"/>
  <c r="A425" i="18"/>
  <c r="E197" i="18"/>
  <c r="H197" i="18"/>
  <c r="H195" i="17"/>
  <c r="E195" i="17"/>
  <c r="B397" i="17"/>
  <c r="A398" i="17"/>
  <c r="D397" i="17"/>
  <c r="B395" i="16"/>
  <c r="D395" i="16"/>
  <c r="A396" i="16"/>
  <c r="H188" i="16"/>
  <c r="E188" i="16"/>
  <c r="B425" i="18" l="1"/>
  <c r="D425" i="18"/>
  <c r="A426" i="18"/>
  <c r="I197" i="18"/>
  <c r="C198" i="18" s="1"/>
  <c r="F197" i="18"/>
  <c r="G197" i="18" s="1"/>
  <c r="J197" i="18"/>
  <c r="J195" i="17"/>
  <c r="F195" i="17"/>
  <c r="G195" i="17" s="1"/>
  <c r="I195" i="17"/>
  <c r="C196" i="17" s="1"/>
  <c r="A399" i="17"/>
  <c r="D398" i="17"/>
  <c r="B398" i="17"/>
  <c r="A397" i="16"/>
  <c r="B396" i="16"/>
  <c r="D396" i="16"/>
  <c r="J188" i="16"/>
  <c r="I188" i="16"/>
  <c r="C189" i="16" s="1"/>
  <c r="F188" i="16"/>
  <c r="G188" i="16" s="1"/>
  <c r="D426" i="18" l="1"/>
  <c r="B426" i="18"/>
  <c r="A427" i="18"/>
  <c r="E198" i="18"/>
  <c r="H198" i="18"/>
  <c r="H196" i="17"/>
  <c r="E196" i="17"/>
  <c r="A400" i="17"/>
  <c r="B399" i="17"/>
  <c r="D399" i="17"/>
  <c r="A398" i="16"/>
  <c r="B397" i="16"/>
  <c r="D397" i="16"/>
  <c r="H189" i="16"/>
  <c r="E189" i="16"/>
  <c r="B427" i="18" l="1"/>
  <c r="D427" i="18"/>
  <c r="A428" i="18"/>
  <c r="F198" i="18"/>
  <c r="G198" i="18" s="1"/>
  <c r="I198" i="18"/>
  <c r="C199" i="18" s="1"/>
  <c r="J198" i="18"/>
  <c r="J196" i="17"/>
  <c r="F196" i="17"/>
  <c r="G196" i="17" s="1"/>
  <c r="I196" i="17"/>
  <c r="C197" i="17" s="1"/>
  <c r="A401" i="17"/>
  <c r="D400" i="17"/>
  <c r="B400" i="17"/>
  <c r="D398" i="16"/>
  <c r="B398" i="16"/>
  <c r="A399" i="16"/>
  <c r="J189" i="16"/>
  <c r="I189" i="16"/>
  <c r="C190" i="16" s="1"/>
  <c r="F189" i="16"/>
  <c r="G189" i="16" s="1"/>
  <c r="D428" i="18" l="1"/>
  <c r="B428" i="18"/>
  <c r="A429" i="18"/>
  <c r="E199" i="18"/>
  <c r="H199" i="18"/>
  <c r="E197" i="17"/>
  <c r="H197" i="17"/>
  <c r="A402" i="17"/>
  <c r="D401" i="17"/>
  <c r="B401" i="17"/>
  <c r="D399" i="16"/>
  <c r="A400" i="16"/>
  <c r="B399" i="16"/>
  <c r="H190" i="16"/>
  <c r="E190" i="16"/>
  <c r="D429" i="18" l="1"/>
  <c r="B429" i="18"/>
  <c r="A430" i="18"/>
  <c r="I199" i="18"/>
  <c r="C200" i="18" s="1"/>
  <c r="F199" i="18"/>
  <c r="G199" i="18" s="1"/>
  <c r="J199" i="18"/>
  <c r="F197" i="17"/>
  <c r="G197" i="17" s="1"/>
  <c r="I197" i="17"/>
  <c r="C198" i="17" s="1"/>
  <c r="J197" i="17"/>
  <c r="A403" i="17"/>
  <c r="D402" i="17"/>
  <c r="B402" i="17"/>
  <c r="B400" i="16"/>
  <c r="A401" i="16"/>
  <c r="D400" i="16"/>
  <c r="J190" i="16"/>
  <c r="F190" i="16"/>
  <c r="G190" i="16" s="1"/>
  <c r="I190" i="16"/>
  <c r="C191" i="16" s="1"/>
  <c r="D430" i="18" l="1"/>
  <c r="B430" i="18"/>
  <c r="A431" i="18"/>
  <c r="H200" i="18"/>
  <c r="E200" i="18"/>
  <c r="E198" i="17"/>
  <c r="H198" i="17"/>
  <c r="B403" i="17"/>
  <c r="A404" i="17"/>
  <c r="D403" i="17"/>
  <c r="D401" i="16"/>
  <c r="A402" i="16"/>
  <c r="B401" i="16"/>
  <c r="E191" i="16"/>
  <c r="H191" i="16"/>
  <c r="B431" i="18" l="1"/>
  <c r="D431" i="18"/>
  <c r="A432" i="18"/>
  <c r="J200" i="18"/>
  <c r="I200" i="18"/>
  <c r="C201" i="18" s="1"/>
  <c r="F200" i="18"/>
  <c r="G200" i="18" s="1"/>
  <c r="F198" i="17"/>
  <c r="G198" i="17" s="1"/>
  <c r="I198" i="17"/>
  <c r="C199" i="17" s="1"/>
  <c r="J198" i="17"/>
  <c r="A405" i="17"/>
  <c r="B404" i="17"/>
  <c r="D404" i="17"/>
  <c r="A403" i="16"/>
  <c r="D402" i="16"/>
  <c r="B402" i="16"/>
  <c r="F191" i="16"/>
  <c r="G191" i="16" s="1"/>
  <c r="I191" i="16"/>
  <c r="C192" i="16" s="1"/>
  <c r="J191" i="16"/>
  <c r="B432" i="18" l="1"/>
  <c r="D432" i="18"/>
  <c r="A433" i="18"/>
  <c r="E201" i="18"/>
  <c r="H201" i="18"/>
  <c r="E199" i="17"/>
  <c r="H199" i="17"/>
  <c r="A406" i="17"/>
  <c r="B405" i="17"/>
  <c r="D405" i="17"/>
  <c r="A404" i="16"/>
  <c r="B403" i="16"/>
  <c r="D403" i="16"/>
  <c r="H192" i="16"/>
  <c r="E192" i="16"/>
  <c r="D433" i="18" l="1"/>
  <c r="B433" i="18"/>
  <c r="A434" i="18"/>
  <c r="F201" i="18"/>
  <c r="G201" i="18" s="1"/>
  <c r="I201" i="18"/>
  <c r="C202" i="18" s="1"/>
  <c r="J201" i="18"/>
  <c r="F199" i="17"/>
  <c r="G199" i="17" s="1"/>
  <c r="I199" i="17"/>
  <c r="C200" i="17" s="1"/>
  <c r="J199" i="17"/>
  <c r="D406" i="17"/>
  <c r="A407" i="17"/>
  <c r="B406" i="17"/>
  <c r="A405" i="16"/>
  <c r="D404" i="16"/>
  <c r="B404" i="16"/>
  <c r="J192" i="16"/>
  <c r="F192" i="16"/>
  <c r="G192" i="16" s="1"/>
  <c r="I192" i="16"/>
  <c r="C193" i="16" s="1"/>
  <c r="B434" i="18" l="1"/>
  <c r="D434" i="18"/>
  <c r="A435" i="18"/>
  <c r="E202" i="18"/>
  <c r="H202" i="18"/>
  <c r="E200" i="17"/>
  <c r="H200" i="17"/>
  <c r="A408" i="17"/>
  <c r="B407" i="17"/>
  <c r="D407" i="17"/>
  <c r="A406" i="16"/>
  <c r="B405" i="16"/>
  <c r="D405" i="16"/>
  <c r="E193" i="16"/>
  <c r="H193" i="16"/>
  <c r="B435" i="18" l="1"/>
  <c r="D435" i="18"/>
  <c r="A436" i="18"/>
  <c r="F202" i="18"/>
  <c r="G202" i="18" s="1"/>
  <c r="I202" i="18"/>
  <c r="C203" i="18" s="1"/>
  <c r="J202" i="18"/>
  <c r="I200" i="17"/>
  <c r="C201" i="17" s="1"/>
  <c r="F200" i="17"/>
  <c r="G200" i="17" s="1"/>
  <c r="J200" i="17"/>
  <c r="B408" i="17"/>
  <c r="A409" i="17"/>
  <c r="D408" i="17"/>
  <c r="A407" i="16"/>
  <c r="D406" i="16"/>
  <c r="B406" i="16"/>
  <c r="I193" i="16"/>
  <c r="C194" i="16" s="1"/>
  <c r="F193" i="16"/>
  <c r="G193" i="16" s="1"/>
  <c r="J193" i="16"/>
  <c r="D436" i="18" l="1"/>
  <c r="B436" i="18"/>
  <c r="A437" i="18"/>
  <c r="E203" i="18"/>
  <c r="H203" i="18"/>
  <c r="H201" i="17"/>
  <c r="E201" i="17"/>
  <c r="A410" i="17"/>
  <c r="D409" i="17"/>
  <c r="B409" i="17"/>
  <c r="B407" i="16"/>
  <c r="A408" i="16"/>
  <c r="D407" i="16"/>
  <c r="E194" i="16"/>
  <c r="H194" i="16"/>
  <c r="D437" i="18" l="1"/>
  <c r="B437" i="18"/>
  <c r="A438" i="18"/>
  <c r="I203" i="18"/>
  <c r="C204" i="18" s="1"/>
  <c r="F203" i="18"/>
  <c r="G203" i="18" s="1"/>
  <c r="J203" i="18"/>
  <c r="J201" i="17"/>
  <c r="F201" i="17"/>
  <c r="G201" i="17" s="1"/>
  <c r="I201" i="17"/>
  <c r="C202" i="17" s="1"/>
  <c r="B410" i="17"/>
  <c r="D410" i="17"/>
  <c r="A411" i="17"/>
  <c r="D408" i="16"/>
  <c r="A409" i="16"/>
  <c r="B408" i="16"/>
  <c r="I194" i="16"/>
  <c r="C195" i="16" s="1"/>
  <c r="F194" i="16"/>
  <c r="G194" i="16" s="1"/>
  <c r="J194" i="16"/>
  <c r="D438" i="18" l="1"/>
  <c r="B438" i="18"/>
  <c r="A439" i="18"/>
  <c r="E204" i="18"/>
  <c r="H204" i="18"/>
  <c r="H202" i="17"/>
  <c r="E202" i="17"/>
  <c r="A412" i="17"/>
  <c r="B411" i="17"/>
  <c r="D411" i="17"/>
  <c r="A410" i="16"/>
  <c r="D409" i="16"/>
  <c r="B409" i="16"/>
  <c r="E195" i="16"/>
  <c r="H195" i="16"/>
  <c r="D439" i="18" l="1"/>
  <c r="B439" i="18"/>
  <c r="A440" i="18"/>
  <c r="F204" i="18"/>
  <c r="G204" i="18" s="1"/>
  <c r="I204" i="18"/>
  <c r="C205" i="18" s="1"/>
  <c r="J204" i="18"/>
  <c r="J202" i="17"/>
  <c r="F202" i="17"/>
  <c r="G202" i="17" s="1"/>
  <c r="I202" i="17"/>
  <c r="C203" i="17" s="1"/>
  <c r="B412" i="17"/>
  <c r="D412" i="17"/>
  <c r="A413" i="17"/>
  <c r="A411" i="16"/>
  <c r="B410" i="16"/>
  <c r="D410" i="16"/>
  <c r="I195" i="16"/>
  <c r="C196" i="16" s="1"/>
  <c r="F195" i="16"/>
  <c r="G195" i="16" s="1"/>
  <c r="J195" i="16"/>
  <c r="D440" i="18" l="1"/>
  <c r="B440" i="18"/>
  <c r="A441" i="18"/>
  <c r="E205" i="18"/>
  <c r="H205" i="18"/>
  <c r="E203" i="17"/>
  <c r="H203" i="17"/>
  <c r="A414" i="17"/>
  <c r="D413" i="17"/>
  <c r="B413" i="17"/>
  <c r="A412" i="16"/>
  <c r="D411" i="16"/>
  <c r="B411" i="16"/>
  <c r="E196" i="16"/>
  <c r="H196" i="16"/>
  <c r="D441" i="18" l="1"/>
  <c r="B441" i="18"/>
  <c r="A442" i="18"/>
  <c r="I205" i="18"/>
  <c r="C206" i="18" s="1"/>
  <c r="F205" i="18"/>
  <c r="G205" i="18" s="1"/>
  <c r="J205" i="18"/>
  <c r="F203" i="17"/>
  <c r="G203" i="17" s="1"/>
  <c r="I203" i="17"/>
  <c r="C204" i="17" s="1"/>
  <c r="J203" i="17"/>
  <c r="A415" i="17"/>
  <c r="B414" i="17"/>
  <c r="D414" i="17"/>
  <c r="A413" i="16"/>
  <c r="D412" i="16"/>
  <c r="B412" i="16"/>
  <c r="F196" i="16"/>
  <c r="G196" i="16" s="1"/>
  <c r="I196" i="16"/>
  <c r="C197" i="16" s="1"/>
  <c r="J196" i="16"/>
  <c r="B442" i="18" l="1"/>
  <c r="D442" i="18"/>
  <c r="A443" i="18"/>
  <c r="E206" i="18"/>
  <c r="H206" i="18"/>
  <c r="E204" i="17"/>
  <c r="H204" i="17"/>
  <c r="A416" i="17"/>
  <c r="D415" i="17"/>
  <c r="B415" i="17"/>
  <c r="A414" i="16"/>
  <c r="D413" i="16"/>
  <c r="B413" i="16"/>
  <c r="E197" i="16"/>
  <c r="H197" i="16"/>
  <c r="D443" i="18" l="1"/>
  <c r="B443" i="18"/>
  <c r="A444" i="18"/>
  <c r="F206" i="18"/>
  <c r="G206" i="18" s="1"/>
  <c r="I206" i="18"/>
  <c r="C207" i="18" s="1"/>
  <c r="J206" i="18"/>
  <c r="F204" i="17"/>
  <c r="G204" i="17" s="1"/>
  <c r="I204" i="17"/>
  <c r="C205" i="17" s="1"/>
  <c r="J204" i="17"/>
  <c r="D416" i="17"/>
  <c r="B416" i="17"/>
  <c r="A417" i="17"/>
  <c r="B414" i="16"/>
  <c r="A415" i="16"/>
  <c r="D414" i="16"/>
  <c r="F197" i="16"/>
  <c r="G197" i="16" s="1"/>
  <c r="I197" i="16"/>
  <c r="C198" i="16" s="1"/>
  <c r="J197" i="16"/>
  <c r="B444" i="18" l="1"/>
  <c r="D444" i="18"/>
  <c r="A445" i="18"/>
  <c r="E207" i="18"/>
  <c r="H207" i="18"/>
  <c r="H205" i="17"/>
  <c r="E205" i="17"/>
  <c r="B417" i="17"/>
  <c r="A418" i="17"/>
  <c r="D417" i="17"/>
  <c r="A416" i="16"/>
  <c r="B415" i="16"/>
  <c r="D415" i="16"/>
  <c r="E198" i="16"/>
  <c r="H198" i="16"/>
  <c r="D445" i="18" l="1"/>
  <c r="B445" i="18"/>
  <c r="A446" i="18"/>
  <c r="F207" i="18"/>
  <c r="G207" i="18" s="1"/>
  <c r="I207" i="18"/>
  <c r="C208" i="18" s="1"/>
  <c r="J207" i="18"/>
  <c r="J205" i="17"/>
  <c r="F205" i="17"/>
  <c r="G205" i="17" s="1"/>
  <c r="I205" i="17"/>
  <c r="C206" i="17" s="1"/>
  <c r="B418" i="17"/>
  <c r="D418" i="17"/>
  <c r="A419" i="17"/>
  <c r="A417" i="16"/>
  <c r="D416" i="16"/>
  <c r="B416" i="16"/>
  <c r="F198" i="16"/>
  <c r="G198" i="16" s="1"/>
  <c r="I198" i="16"/>
  <c r="C199" i="16" s="1"/>
  <c r="J198" i="16"/>
  <c r="B446" i="18" l="1"/>
  <c r="D446" i="18"/>
  <c r="A447" i="18"/>
  <c r="E208" i="18"/>
  <c r="H208" i="18"/>
  <c r="E206" i="17"/>
  <c r="H206" i="17"/>
  <c r="D419" i="17"/>
  <c r="A420" i="17"/>
  <c r="B419" i="17"/>
  <c r="A418" i="16"/>
  <c r="B417" i="16"/>
  <c r="D417" i="16"/>
  <c r="H199" i="16"/>
  <c r="E199" i="16"/>
  <c r="B447" i="18" l="1"/>
  <c r="D447" i="18"/>
  <c r="A448" i="18"/>
  <c r="F208" i="18"/>
  <c r="G208" i="18" s="1"/>
  <c r="I208" i="18"/>
  <c r="C209" i="18" s="1"/>
  <c r="J208" i="18"/>
  <c r="I206" i="17"/>
  <c r="C207" i="17" s="1"/>
  <c r="F206" i="17"/>
  <c r="G206" i="17" s="1"/>
  <c r="J206" i="17"/>
  <c r="A421" i="17"/>
  <c r="D420" i="17"/>
  <c r="B420" i="17"/>
  <c r="A419" i="16"/>
  <c r="B418" i="16"/>
  <c r="D418" i="16"/>
  <c r="J199" i="16"/>
  <c r="I199" i="16"/>
  <c r="C200" i="16" s="1"/>
  <c r="F199" i="16"/>
  <c r="G199" i="16" s="1"/>
  <c r="B448" i="18" l="1"/>
  <c r="D448" i="18"/>
  <c r="A449" i="18"/>
  <c r="E209" i="18"/>
  <c r="H209" i="18"/>
  <c r="E207" i="17"/>
  <c r="H207" i="17"/>
  <c r="B421" i="17"/>
  <c r="A422" i="17"/>
  <c r="D421" i="17"/>
  <c r="A420" i="16"/>
  <c r="D419" i="16"/>
  <c r="B419" i="16"/>
  <c r="H200" i="16"/>
  <c r="E200" i="16"/>
  <c r="D449" i="18" l="1"/>
  <c r="B449" i="18"/>
  <c r="A450" i="18"/>
  <c r="F209" i="18"/>
  <c r="G209" i="18" s="1"/>
  <c r="I209" i="18"/>
  <c r="C210" i="18" s="1"/>
  <c r="J209" i="18"/>
  <c r="F207" i="17"/>
  <c r="G207" i="17" s="1"/>
  <c r="I207" i="17"/>
  <c r="C208" i="17" s="1"/>
  <c r="J207" i="17"/>
  <c r="A423" i="17"/>
  <c r="D422" i="17"/>
  <c r="B422" i="17"/>
  <c r="A421" i="16"/>
  <c r="D420" i="16"/>
  <c r="B420" i="16"/>
  <c r="J200" i="16"/>
  <c r="I200" i="16"/>
  <c r="C201" i="16" s="1"/>
  <c r="F200" i="16"/>
  <c r="G200" i="16" s="1"/>
  <c r="D450" i="18" l="1"/>
  <c r="B450" i="18"/>
  <c r="A451" i="18"/>
  <c r="E210" i="18"/>
  <c r="H210" i="18"/>
  <c r="E208" i="17"/>
  <c r="H208" i="17"/>
  <c r="A424" i="17"/>
  <c r="D423" i="17"/>
  <c r="B423" i="17"/>
  <c r="D421" i="16"/>
  <c r="A422" i="16"/>
  <c r="B421" i="16"/>
  <c r="E201" i="16"/>
  <c r="H201" i="16"/>
  <c r="D451" i="18" l="1"/>
  <c r="B451" i="18"/>
  <c r="A452" i="18"/>
  <c r="I210" i="18"/>
  <c r="C211" i="18" s="1"/>
  <c r="F210" i="18"/>
  <c r="G210" i="18" s="1"/>
  <c r="J210" i="18"/>
  <c r="I208" i="17"/>
  <c r="C209" i="17" s="1"/>
  <c r="F208" i="17"/>
  <c r="G208" i="17" s="1"/>
  <c r="J208" i="17"/>
  <c r="D424" i="17"/>
  <c r="B424" i="17"/>
  <c r="A425" i="17"/>
  <c r="A423" i="16"/>
  <c r="B422" i="16"/>
  <c r="D422" i="16"/>
  <c r="I201" i="16"/>
  <c r="C202" i="16" s="1"/>
  <c r="F201" i="16"/>
  <c r="G201" i="16" s="1"/>
  <c r="J201" i="16"/>
  <c r="B452" i="18" l="1"/>
  <c r="D452" i="18"/>
  <c r="A453" i="18"/>
  <c r="E211" i="18"/>
  <c r="H211" i="18"/>
  <c r="E209" i="17"/>
  <c r="H209" i="17"/>
  <c r="A426" i="17"/>
  <c r="D425" i="17"/>
  <c r="B425" i="17"/>
  <c r="A424" i="16"/>
  <c r="D423" i="16"/>
  <c r="B423" i="16"/>
  <c r="H202" i="16"/>
  <c r="E202" i="16"/>
  <c r="D453" i="18" l="1"/>
  <c r="B453" i="18"/>
  <c r="A454" i="18"/>
  <c r="I211" i="18"/>
  <c r="C212" i="18" s="1"/>
  <c r="F211" i="18"/>
  <c r="G211" i="18" s="1"/>
  <c r="J211" i="18"/>
  <c r="F209" i="17"/>
  <c r="G209" i="17" s="1"/>
  <c r="I209" i="17"/>
  <c r="C210" i="17" s="1"/>
  <c r="J209" i="17"/>
  <c r="D426" i="17"/>
  <c r="A427" i="17"/>
  <c r="B426" i="17"/>
  <c r="D424" i="16"/>
  <c r="A425" i="16"/>
  <c r="B424" i="16"/>
  <c r="J202" i="16"/>
  <c r="F202" i="16"/>
  <c r="G202" i="16" s="1"/>
  <c r="I202" i="16"/>
  <c r="C203" i="16" s="1"/>
  <c r="D454" i="18" l="1"/>
  <c r="B454" i="18"/>
  <c r="A455" i="18"/>
  <c r="E212" i="18"/>
  <c r="H212" i="18"/>
  <c r="H210" i="17"/>
  <c r="E210" i="17"/>
  <c r="A428" i="17"/>
  <c r="B427" i="17"/>
  <c r="D427" i="17"/>
  <c r="A426" i="16"/>
  <c r="B425" i="16"/>
  <c r="D425" i="16"/>
  <c r="H203" i="16"/>
  <c r="E203" i="16"/>
  <c r="D455" i="18" l="1"/>
  <c r="B455" i="18"/>
  <c r="A456" i="18"/>
  <c r="F212" i="18"/>
  <c r="G212" i="18" s="1"/>
  <c r="I212" i="18"/>
  <c r="C213" i="18" s="1"/>
  <c r="J212" i="18"/>
  <c r="J210" i="17"/>
  <c r="I210" i="17"/>
  <c r="C211" i="17" s="1"/>
  <c r="F210" i="17"/>
  <c r="G210" i="17" s="1"/>
  <c r="A429" i="17"/>
  <c r="B428" i="17"/>
  <c r="D428" i="17"/>
  <c r="A427" i="16"/>
  <c r="B426" i="16"/>
  <c r="D426" i="16"/>
  <c r="J203" i="16"/>
  <c r="I203" i="16"/>
  <c r="C204" i="16" s="1"/>
  <c r="F203" i="16"/>
  <c r="G203" i="16" s="1"/>
  <c r="D456" i="18" l="1"/>
  <c r="B456" i="18"/>
  <c r="A457" i="18"/>
  <c r="E213" i="18"/>
  <c r="H213" i="18"/>
  <c r="H211" i="17"/>
  <c r="E211" i="17"/>
  <c r="A430" i="17"/>
  <c r="D429" i="17"/>
  <c r="B429" i="17"/>
  <c r="A428" i="16"/>
  <c r="B427" i="16"/>
  <c r="D427" i="16"/>
  <c r="E204" i="16"/>
  <c r="H204" i="16"/>
  <c r="B457" i="18" l="1"/>
  <c r="D457" i="18"/>
  <c r="A458" i="18"/>
  <c r="I213" i="18"/>
  <c r="C214" i="18" s="1"/>
  <c r="F213" i="18"/>
  <c r="G213" i="18" s="1"/>
  <c r="J213" i="18"/>
  <c r="J211" i="17"/>
  <c r="F211" i="17"/>
  <c r="G211" i="17" s="1"/>
  <c r="I211" i="17"/>
  <c r="C212" i="17" s="1"/>
  <c r="B430" i="17"/>
  <c r="A431" i="17"/>
  <c r="D430" i="17"/>
  <c r="A429" i="16"/>
  <c r="D428" i="16"/>
  <c r="B428" i="16"/>
  <c r="F204" i="16"/>
  <c r="G204" i="16" s="1"/>
  <c r="I204" i="16"/>
  <c r="C205" i="16" s="1"/>
  <c r="J204" i="16"/>
  <c r="D458" i="18" l="1"/>
  <c r="B458" i="18"/>
  <c r="A459" i="18"/>
  <c r="E214" i="18"/>
  <c r="H214" i="18"/>
  <c r="E212" i="17"/>
  <c r="H212" i="17"/>
  <c r="A432" i="17"/>
  <c r="D431" i="17"/>
  <c r="B431" i="17"/>
  <c r="B429" i="16"/>
  <c r="A430" i="16"/>
  <c r="D429" i="16"/>
  <c r="E205" i="16"/>
  <c r="H205" i="16"/>
  <c r="B459" i="18" l="1"/>
  <c r="D459" i="18"/>
  <c r="A460" i="18"/>
  <c r="I214" i="18"/>
  <c r="C215" i="18" s="1"/>
  <c r="F214" i="18"/>
  <c r="G214" i="18" s="1"/>
  <c r="J214" i="18"/>
  <c r="I212" i="17"/>
  <c r="C213" i="17" s="1"/>
  <c r="F212" i="17"/>
  <c r="G212" i="17" s="1"/>
  <c r="J212" i="17"/>
  <c r="B432" i="17"/>
  <c r="D432" i="17"/>
  <c r="A433" i="17"/>
  <c r="B430" i="16"/>
  <c r="A431" i="16"/>
  <c r="D430" i="16"/>
  <c r="F205" i="16"/>
  <c r="G205" i="16" s="1"/>
  <c r="I205" i="16"/>
  <c r="C206" i="16" s="1"/>
  <c r="J205" i="16"/>
  <c r="D460" i="18" l="1"/>
  <c r="B460" i="18"/>
  <c r="A461" i="18"/>
  <c r="E215" i="18"/>
  <c r="H215" i="18"/>
  <c r="E213" i="17"/>
  <c r="H213" i="17"/>
  <c r="A434" i="17"/>
  <c r="B433" i="17"/>
  <c r="D433" i="17"/>
  <c r="A432" i="16"/>
  <c r="B431" i="16"/>
  <c r="D431" i="16"/>
  <c r="H206" i="16"/>
  <c r="E206" i="16"/>
  <c r="D461" i="18" l="1"/>
  <c r="B461" i="18"/>
  <c r="A462" i="18"/>
  <c r="I215" i="18"/>
  <c r="C216" i="18" s="1"/>
  <c r="F215" i="18"/>
  <c r="G215" i="18" s="1"/>
  <c r="J215" i="18"/>
  <c r="I213" i="17"/>
  <c r="C214" i="17" s="1"/>
  <c r="F213" i="17"/>
  <c r="G213" i="17" s="1"/>
  <c r="J213" i="17"/>
  <c r="B434" i="17"/>
  <c r="D434" i="17"/>
  <c r="A435" i="17"/>
  <c r="A433" i="16"/>
  <c r="D432" i="16"/>
  <c r="B432" i="16"/>
  <c r="J206" i="16"/>
  <c r="F206" i="16"/>
  <c r="G206" i="16" s="1"/>
  <c r="I206" i="16"/>
  <c r="C207" i="16" s="1"/>
  <c r="B462" i="18" l="1"/>
  <c r="D462" i="18"/>
  <c r="A463" i="18"/>
  <c r="H216" i="18"/>
  <c r="E216" i="18"/>
  <c r="H214" i="17"/>
  <c r="E214" i="17"/>
  <c r="A436" i="17"/>
  <c r="B435" i="17"/>
  <c r="D435" i="17"/>
  <c r="A434" i="16"/>
  <c r="D433" i="16"/>
  <c r="B433" i="16"/>
  <c r="E207" i="16"/>
  <c r="H207" i="16"/>
  <c r="B463" i="18" l="1"/>
  <c r="D463" i="18"/>
  <c r="A464" i="18"/>
  <c r="J216" i="18"/>
  <c r="F216" i="18"/>
  <c r="G216" i="18" s="1"/>
  <c r="I216" i="18"/>
  <c r="C217" i="18" s="1"/>
  <c r="J214" i="17"/>
  <c r="I214" i="17"/>
  <c r="C215" i="17" s="1"/>
  <c r="F214" i="17"/>
  <c r="G214" i="17" s="1"/>
  <c r="A437" i="17"/>
  <c r="B436" i="17"/>
  <c r="D436" i="17"/>
  <c r="A435" i="16"/>
  <c r="D434" i="16"/>
  <c r="B434" i="16"/>
  <c r="F207" i="16"/>
  <c r="G207" i="16" s="1"/>
  <c r="I207" i="16"/>
  <c r="C208" i="16" s="1"/>
  <c r="J207" i="16"/>
  <c r="D464" i="18" l="1"/>
  <c r="B464" i="18"/>
  <c r="A465" i="18"/>
  <c r="E217" i="18"/>
  <c r="H217" i="18"/>
  <c r="E215" i="17"/>
  <c r="H215" i="17"/>
  <c r="B437" i="17"/>
  <c r="A438" i="17"/>
  <c r="D437" i="17"/>
  <c r="A436" i="16"/>
  <c r="B435" i="16"/>
  <c r="D435" i="16"/>
  <c r="E208" i="16"/>
  <c r="H208" i="16"/>
  <c r="D465" i="18" l="1"/>
  <c r="B465" i="18"/>
  <c r="A466" i="18"/>
  <c r="F217" i="18"/>
  <c r="G217" i="18" s="1"/>
  <c r="I217" i="18"/>
  <c r="C218" i="18" s="1"/>
  <c r="J217" i="18"/>
  <c r="I215" i="17"/>
  <c r="C216" i="17" s="1"/>
  <c r="F215" i="17"/>
  <c r="G215" i="17" s="1"/>
  <c r="J215" i="17"/>
  <c r="A439" i="17"/>
  <c r="D438" i="17"/>
  <c r="B438" i="17"/>
  <c r="B436" i="16"/>
  <c r="A437" i="16"/>
  <c r="D436" i="16"/>
  <c r="I208" i="16"/>
  <c r="C209" i="16" s="1"/>
  <c r="F208" i="16"/>
  <c r="G208" i="16" s="1"/>
  <c r="J208" i="16"/>
  <c r="D466" i="18" l="1"/>
  <c r="B466" i="18"/>
  <c r="A467" i="18"/>
  <c r="E218" i="18"/>
  <c r="H218" i="18"/>
  <c r="E216" i="17"/>
  <c r="H216" i="17"/>
  <c r="D439" i="17"/>
  <c r="B439" i="17"/>
  <c r="A440" i="17"/>
  <c r="A438" i="16"/>
  <c r="B437" i="16"/>
  <c r="D437" i="16"/>
  <c r="E209" i="16"/>
  <c r="H209" i="16"/>
  <c r="B467" i="18" l="1"/>
  <c r="D467" i="18"/>
  <c r="A468" i="18"/>
  <c r="F218" i="18"/>
  <c r="G218" i="18" s="1"/>
  <c r="I218" i="18"/>
  <c r="C219" i="18" s="1"/>
  <c r="J218" i="18"/>
  <c r="F216" i="17"/>
  <c r="G216" i="17" s="1"/>
  <c r="I216" i="17"/>
  <c r="C217" i="17" s="1"/>
  <c r="J216" i="17"/>
  <c r="D440" i="17"/>
  <c r="B440" i="17"/>
  <c r="A441" i="17"/>
  <c r="D438" i="16"/>
  <c r="B438" i="16"/>
  <c r="A439" i="16"/>
  <c r="F209" i="16"/>
  <c r="G209" i="16" s="1"/>
  <c r="I209" i="16"/>
  <c r="C210" i="16" s="1"/>
  <c r="J209" i="16"/>
  <c r="B468" i="18" l="1"/>
  <c r="D468" i="18"/>
  <c r="A469" i="18"/>
  <c r="E219" i="18"/>
  <c r="H219" i="18"/>
  <c r="E217" i="17"/>
  <c r="H217" i="17"/>
  <c r="B441" i="17"/>
  <c r="A442" i="17"/>
  <c r="D441" i="17"/>
  <c r="D439" i="16"/>
  <c r="A440" i="16"/>
  <c r="B439" i="16"/>
  <c r="E210" i="16"/>
  <c r="H210" i="16"/>
  <c r="D469" i="18" l="1"/>
  <c r="B469" i="18"/>
  <c r="A470" i="18"/>
  <c r="I219" i="18"/>
  <c r="C220" i="18" s="1"/>
  <c r="F219" i="18"/>
  <c r="G219" i="18" s="1"/>
  <c r="J219" i="18"/>
  <c r="I217" i="17"/>
  <c r="C218" i="17" s="1"/>
  <c r="F217" i="17"/>
  <c r="G217" i="17" s="1"/>
  <c r="J217" i="17"/>
  <c r="D442" i="17"/>
  <c r="A443" i="17"/>
  <c r="B442" i="17"/>
  <c r="A441" i="16"/>
  <c r="D440" i="16"/>
  <c r="B440" i="16"/>
  <c r="F210" i="16"/>
  <c r="G210" i="16" s="1"/>
  <c r="I210" i="16"/>
  <c r="C211" i="16" s="1"/>
  <c r="J210" i="16"/>
  <c r="B470" i="18" l="1"/>
  <c r="D470" i="18"/>
  <c r="A471" i="18"/>
  <c r="E220" i="18"/>
  <c r="H220" i="18"/>
  <c r="H218" i="17"/>
  <c r="E218" i="17"/>
  <c r="A444" i="17"/>
  <c r="D443" i="17"/>
  <c r="B443" i="17"/>
  <c r="A442" i="16"/>
  <c r="B441" i="16"/>
  <c r="D441" i="16"/>
  <c r="E211" i="16"/>
  <c r="H211" i="16"/>
  <c r="D471" i="18" l="1"/>
  <c r="B471" i="18"/>
  <c r="A472" i="18"/>
  <c r="I220" i="18"/>
  <c r="C221" i="18" s="1"/>
  <c r="F220" i="18"/>
  <c r="G220" i="18" s="1"/>
  <c r="J220" i="18"/>
  <c r="J218" i="17"/>
  <c r="F218" i="17"/>
  <c r="G218" i="17" s="1"/>
  <c r="I218" i="17"/>
  <c r="C219" i="17" s="1"/>
  <c r="A445" i="17"/>
  <c r="B444" i="17"/>
  <c r="D444" i="17"/>
  <c r="A443" i="16"/>
  <c r="D442" i="16"/>
  <c r="B442" i="16"/>
  <c r="I211" i="16"/>
  <c r="C212" i="16" s="1"/>
  <c r="F211" i="16"/>
  <c r="G211" i="16" s="1"/>
  <c r="J211" i="16"/>
  <c r="D472" i="18" l="1"/>
  <c r="B472" i="18"/>
  <c r="A473" i="18"/>
  <c r="E221" i="18"/>
  <c r="H221" i="18"/>
  <c r="E219" i="17"/>
  <c r="H219" i="17"/>
  <c r="A446" i="17"/>
  <c r="B445" i="17"/>
  <c r="D445" i="17"/>
  <c r="A444" i="16"/>
  <c r="B443" i="16"/>
  <c r="D443" i="16"/>
  <c r="E212" i="16"/>
  <c r="H212" i="16"/>
  <c r="D473" i="18" l="1"/>
  <c r="B473" i="18"/>
  <c r="A474" i="18"/>
  <c r="I221" i="18"/>
  <c r="C222" i="18" s="1"/>
  <c r="F221" i="18"/>
  <c r="G221" i="18" s="1"/>
  <c r="J221" i="18"/>
  <c r="I219" i="17"/>
  <c r="C220" i="17" s="1"/>
  <c r="F219" i="17"/>
  <c r="G219" i="17" s="1"/>
  <c r="J219" i="17"/>
  <c r="A447" i="17"/>
  <c r="D446" i="17"/>
  <c r="B446" i="17"/>
  <c r="A445" i="16"/>
  <c r="D444" i="16"/>
  <c r="B444" i="16"/>
  <c r="F212" i="16"/>
  <c r="G212" i="16" s="1"/>
  <c r="I212" i="16"/>
  <c r="C213" i="16" s="1"/>
  <c r="J212" i="16"/>
  <c r="D474" i="18" l="1"/>
  <c r="B474" i="18"/>
  <c r="A475" i="18"/>
  <c r="E222" i="18"/>
  <c r="H222" i="18"/>
  <c r="E220" i="17"/>
  <c r="H220" i="17"/>
  <c r="A448" i="17"/>
  <c r="D447" i="17"/>
  <c r="B447" i="17"/>
  <c r="A446" i="16"/>
  <c r="B445" i="16"/>
  <c r="D445" i="16"/>
  <c r="E213" i="16"/>
  <c r="H213" i="16"/>
  <c r="D475" i="18" l="1"/>
  <c r="B475" i="18"/>
  <c r="A476" i="18"/>
  <c r="F222" i="18"/>
  <c r="G222" i="18" s="1"/>
  <c r="I222" i="18"/>
  <c r="C223" i="18" s="1"/>
  <c r="J222" i="18"/>
  <c r="F220" i="17"/>
  <c r="G220" i="17" s="1"/>
  <c r="I220" i="17"/>
  <c r="C221" i="17" s="1"/>
  <c r="J220" i="17"/>
  <c r="A449" i="17"/>
  <c r="D448" i="17"/>
  <c r="B448" i="17"/>
  <c r="A447" i="16"/>
  <c r="D446" i="16"/>
  <c r="B446" i="16"/>
  <c r="F213" i="16"/>
  <c r="G213" i="16" s="1"/>
  <c r="I213" i="16"/>
  <c r="C214" i="16" s="1"/>
  <c r="J213" i="16"/>
  <c r="B476" i="18" l="1"/>
  <c r="D476" i="18"/>
  <c r="A477" i="18"/>
  <c r="E223" i="18"/>
  <c r="H223" i="18"/>
  <c r="H221" i="17"/>
  <c r="E221" i="17"/>
  <c r="A450" i="17"/>
  <c r="D449" i="17"/>
  <c r="B449" i="17"/>
  <c r="B447" i="16"/>
  <c r="A448" i="16"/>
  <c r="D447" i="16"/>
  <c r="H214" i="16"/>
  <c r="E214" i="16"/>
  <c r="D477" i="18" l="1"/>
  <c r="B477" i="18"/>
  <c r="A478" i="18"/>
  <c r="F223" i="18"/>
  <c r="G223" i="18" s="1"/>
  <c r="I223" i="18"/>
  <c r="C224" i="18" s="1"/>
  <c r="J223" i="18"/>
  <c r="J221" i="17"/>
  <c r="I221" i="17"/>
  <c r="C222" i="17" s="1"/>
  <c r="F221" i="17"/>
  <c r="G221" i="17" s="1"/>
  <c r="D450" i="17"/>
  <c r="A451" i="17"/>
  <c r="B450" i="17"/>
  <c r="A449" i="16"/>
  <c r="B448" i="16"/>
  <c r="D448" i="16"/>
  <c r="J214" i="16"/>
  <c r="F214" i="16"/>
  <c r="G214" i="16" s="1"/>
  <c r="I214" i="16"/>
  <c r="C215" i="16" s="1"/>
  <c r="B478" i="18" l="1"/>
  <c r="D478" i="18"/>
  <c r="A479" i="18"/>
  <c r="E224" i="18"/>
  <c r="H224" i="18"/>
  <c r="H222" i="17"/>
  <c r="E222" i="17"/>
  <c r="A452" i="17"/>
  <c r="B451" i="17"/>
  <c r="D451" i="17"/>
  <c r="B449" i="16"/>
  <c r="A450" i="16"/>
  <c r="D449" i="16"/>
  <c r="E215" i="16"/>
  <c r="H215" i="16"/>
  <c r="D479" i="18" l="1"/>
  <c r="B479" i="18"/>
  <c r="A480" i="18"/>
  <c r="F224" i="18"/>
  <c r="G224" i="18" s="1"/>
  <c r="I224" i="18"/>
  <c r="C225" i="18" s="1"/>
  <c r="J224" i="18"/>
  <c r="J222" i="17"/>
  <c r="I222" i="17"/>
  <c r="C223" i="17" s="1"/>
  <c r="F222" i="17"/>
  <c r="G222" i="17" s="1"/>
  <c r="A453" i="17"/>
  <c r="B452" i="17"/>
  <c r="D452" i="17"/>
  <c r="A451" i="16"/>
  <c r="D450" i="16"/>
  <c r="B450" i="16"/>
  <c r="I215" i="16"/>
  <c r="C216" i="16" s="1"/>
  <c r="F215" i="16"/>
  <c r="G215" i="16" s="1"/>
  <c r="J215" i="16"/>
  <c r="D480" i="18" l="1"/>
  <c r="B480" i="18"/>
  <c r="A481" i="18"/>
  <c r="E225" i="18"/>
  <c r="H225" i="18"/>
  <c r="H223" i="17"/>
  <c r="E223" i="17"/>
  <c r="A454" i="17"/>
  <c r="D453" i="17"/>
  <c r="B453" i="17"/>
  <c r="D451" i="16"/>
  <c r="A452" i="16"/>
  <c r="B451" i="16"/>
  <c r="E216" i="16"/>
  <c r="H216" i="16"/>
  <c r="D481" i="18" l="1"/>
  <c r="B481" i="18"/>
  <c r="A482" i="18"/>
  <c r="F225" i="18"/>
  <c r="G225" i="18" s="1"/>
  <c r="I225" i="18"/>
  <c r="C226" i="18" s="1"/>
  <c r="J225" i="18"/>
  <c r="J223" i="17"/>
  <c r="F223" i="17"/>
  <c r="G223" i="17" s="1"/>
  <c r="I223" i="17"/>
  <c r="C224" i="17" s="1"/>
  <c r="D454" i="17"/>
  <c r="A455" i="17"/>
  <c r="B454" i="17"/>
  <c r="A453" i="16"/>
  <c r="D452" i="16"/>
  <c r="B452" i="16"/>
  <c r="F216" i="16"/>
  <c r="G216" i="16" s="1"/>
  <c r="I216" i="16"/>
  <c r="C217" i="16" s="1"/>
  <c r="J216" i="16"/>
  <c r="D482" i="18" l="1"/>
  <c r="B482" i="18"/>
  <c r="A483" i="18"/>
  <c r="E226" i="18"/>
  <c r="H226" i="18"/>
  <c r="H224" i="17"/>
  <c r="E224" i="17"/>
  <c r="B455" i="17"/>
  <c r="A456" i="17"/>
  <c r="D455" i="17"/>
  <c r="A454" i="16"/>
  <c r="B453" i="16"/>
  <c r="D453" i="16"/>
  <c r="H217" i="16"/>
  <c r="E217" i="16"/>
  <c r="D483" i="18" l="1"/>
  <c r="B483" i="18"/>
  <c r="A484" i="18"/>
  <c r="I226" i="18"/>
  <c r="C227" i="18" s="1"/>
  <c r="F226" i="18"/>
  <c r="G226" i="18" s="1"/>
  <c r="J226" i="18"/>
  <c r="J224" i="17"/>
  <c r="I224" i="17"/>
  <c r="C225" i="17" s="1"/>
  <c r="F224" i="17"/>
  <c r="G224" i="17" s="1"/>
  <c r="A457" i="17"/>
  <c r="D456" i="17"/>
  <c r="B456" i="17"/>
  <c r="A455" i="16"/>
  <c r="D454" i="16"/>
  <c r="B454" i="16"/>
  <c r="J217" i="16"/>
  <c r="F217" i="16"/>
  <c r="G217" i="16" s="1"/>
  <c r="I217" i="16"/>
  <c r="C218" i="16" s="1"/>
  <c r="B484" i="18" l="1"/>
  <c r="D484" i="18"/>
  <c r="A485" i="18"/>
  <c r="E227" i="18"/>
  <c r="H227" i="18"/>
  <c r="E225" i="17"/>
  <c r="H225" i="17"/>
  <c r="A458" i="17"/>
  <c r="D457" i="17"/>
  <c r="B457" i="17"/>
  <c r="B455" i="16"/>
  <c r="D455" i="16"/>
  <c r="A456" i="16"/>
  <c r="E218" i="16"/>
  <c r="H218" i="16"/>
  <c r="B485" i="18" l="1"/>
  <c r="D485" i="18"/>
  <c r="A486" i="18"/>
  <c r="I227" i="18"/>
  <c r="C228" i="18" s="1"/>
  <c r="F227" i="18"/>
  <c r="G227" i="18" s="1"/>
  <c r="J227" i="18"/>
  <c r="F225" i="17"/>
  <c r="G225" i="17" s="1"/>
  <c r="I225" i="17"/>
  <c r="C226" i="17" s="1"/>
  <c r="J225" i="17"/>
  <c r="A459" i="17"/>
  <c r="D458" i="17"/>
  <c r="B458" i="17"/>
  <c r="A457" i="16"/>
  <c r="B456" i="16"/>
  <c r="D456" i="16"/>
  <c r="I218" i="16"/>
  <c r="C219" i="16" s="1"/>
  <c r="F218" i="16"/>
  <c r="G218" i="16" s="1"/>
  <c r="J218" i="16"/>
  <c r="D486" i="18" l="1"/>
  <c r="B486" i="18"/>
  <c r="A487" i="18"/>
  <c r="H228" i="18"/>
  <c r="E228" i="18"/>
  <c r="E226" i="17"/>
  <c r="H226" i="17"/>
  <c r="A460" i="17"/>
  <c r="D459" i="17"/>
  <c r="B459" i="17"/>
  <c r="A458" i="16"/>
  <c r="D457" i="16"/>
  <c r="B457" i="16"/>
  <c r="H219" i="16"/>
  <c r="E219" i="16"/>
  <c r="B487" i="18" l="1"/>
  <c r="D487" i="18"/>
  <c r="A488" i="18"/>
  <c r="J228" i="18"/>
  <c r="F228" i="18"/>
  <c r="G228" i="18" s="1"/>
  <c r="I228" i="18"/>
  <c r="C229" i="18" s="1"/>
  <c r="F226" i="17"/>
  <c r="G226" i="17" s="1"/>
  <c r="I226" i="17"/>
  <c r="C227" i="17" s="1"/>
  <c r="J226" i="17"/>
  <c r="A461" i="17"/>
  <c r="D460" i="17"/>
  <c r="B460" i="17"/>
  <c r="A459" i="16"/>
  <c r="B458" i="16"/>
  <c r="D458" i="16"/>
  <c r="J219" i="16"/>
  <c r="F219" i="16"/>
  <c r="G219" i="16" s="1"/>
  <c r="I219" i="16"/>
  <c r="C220" i="16" s="1"/>
  <c r="D488" i="18" l="1"/>
  <c r="B488" i="18"/>
  <c r="A489" i="18"/>
  <c r="E229" i="18"/>
  <c r="H229" i="18"/>
  <c r="E227" i="17"/>
  <c r="H227" i="17"/>
  <c r="A462" i="17"/>
  <c r="D461" i="17"/>
  <c r="B461" i="17"/>
  <c r="A460" i="16"/>
  <c r="B459" i="16"/>
  <c r="D459" i="16"/>
  <c r="E220" i="16"/>
  <c r="H220" i="16"/>
  <c r="B489" i="18" l="1"/>
  <c r="D489" i="18"/>
  <c r="A490" i="18"/>
  <c r="I229" i="18"/>
  <c r="C230" i="18" s="1"/>
  <c r="F229" i="18"/>
  <c r="G229" i="18" s="1"/>
  <c r="J229" i="18"/>
  <c r="F227" i="17"/>
  <c r="G227" i="17" s="1"/>
  <c r="I227" i="17"/>
  <c r="C228" i="17" s="1"/>
  <c r="J227" i="17"/>
  <c r="D462" i="17"/>
  <c r="B462" i="17"/>
  <c r="A463" i="17"/>
  <c r="A461" i="16"/>
  <c r="B460" i="16"/>
  <c r="D460" i="16"/>
  <c r="F220" i="16"/>
  <c r="G220" i="16" s="1"/>
  <c r="I220" i="16"/>
  <c r="C221" i="16" s="1"/>
  <c r="J220" i="16"/>
  <c r="B490" i="18" l="1"/>
  <c r="D490" i="18"/>
  <c r="A491" i="18"/>
  <c r="E230" i="18"/>
  <c r="H230" i="18"/>
  <c r="E228" i="17"/>
  <c r="H228" i="17"/>
  <c r="A464" i="17"/>
  <c r="D463" i="17"/>
  <c r="B463" i="17"/>
  <c r="B461" i="16"/>
  <c r="A462" i="16"/>
  <c r="D461" i="16"/>
  <c r="E221" i="16"/>
  <c r="H221" i="16"/>
  <c r="B491" i="18" l="1"/>
  <c r="D491" i="18"/>
  <c r="A492" i="18"/>
  <c r="F230" i="18"/>
  <c r="G230" i="18" s="1"/>
  <c r="I230" i="18"/>
  <c r="C231" i="18" s="1"/>
  <c r="J230" i="18"/>
  <c r="I228" i="17"/>
  <c r="C229" i="17" s="1"/>
  <c r="F228" i="17"/>
  <c r="G228" i="17" s="1"/>
  <c r="J228" i="17"/>
  <c r="D464" i="17"/>
  <c r="B464" i="17"/>
  <c r="A465" i="17"/>
  <c r="A463" i="16"/>
  <c r="B462" i="16"/>
  <c r="D462" i="16"/>
  <c r="F221" i="16"/>
  <c r="G221" i="16" s="1"/>
  <c r="I221" i="16"/>
  <c r="C222" i="16" s="1"/>
  <c r="J221" i="16"/>
  <c r="D492" i="18" l="1"/>
  <c r="B492" i="18"/>
  <c r="A493" i="18"/>
  <c r="E231" i="18"/>
  <c r="H231" i="18"/>
  <c r="H229" i="17"/>
  <c r="E229" i="17"/>
  <c r="A466" i="17"/>
  <c r="D465" i="17"/>
  <c r="B465" i="17"/>
  <c r="B463" i="16"/>
  <c r="A464" i="16"/>
  <c r="D463" i="16"/>
  <c r="E222" i="16"/>
  <c r="H222" i="16"/>
  <c r="B493" i="18" l="1"/>
  <c r="D493" i="18"/>
  <c r="A494" i="18"/>
  <c r="I231" i="18"/>
  <c r="C232" i="18" s="1"/>
  <c r="F231" i="18"/>
  <c r="G231" i="18" s="1"/>
  <c r="J231" i="18"/>
  <c r="J229" i="17"/>
  <c r="F229" i="17"/>
  <c r="G229" i="17" s="1"/>
  <c r="I229" i="17"/>
  <c r="C230" i="17" s="1"/>
  <c r="A467" i="17"/>
  <c r="B466" i="17"/>
  <c r="D466" i="17"/>
  <c r="A465" i="16"/>
  <c r="D464" i="16"/>
  <c r="B464" i="16"/>
  <c r="F222" i="16"/>
  <c r="G222" i="16" s="1"/>
  <c r="I222" i="16"/>
  <c r="C223" i="16" s="1"/>
  <c r="J222" i="16"/>
  <c r="D494" i="18" l="1"/>
  <c r="B494" i="18"/>
  <c r="A495" i="18"/>
  <c r="H232" i="18"/>
  <c r="E232" i="18"/>
  <c r="E230" i="17"/>
  <c r="H230" i="17"/>
  <c r="A468" i="17"/>
  <c r="B467" i="17"/>
  <c r="D467" i="17"/>
  <c r="A466" i="16"/>
  <c r="D465" i="16"/>
  <c r="B465" i="16"/>
  <c r="E223" i="16"/>
  <c r="H223" i="16"/>
  <c r="D495" i="18" l="1"/>
  <c r="B495" i="18"/>
  <c r="A496" i="18"/>
  <c r="J232" i="18"/>
  <c r="F232" i="18"/>
  <c r="G232" i="18" s="1"/>
  <c r="I232" i="18"/>
  <c r="C233" i="18" s="1"/>
  <c r="F230" i="17"/>
  <c r="G230" i="17" s="1"/>
  <c r="I230" i="17"/>
  <c r="C231" i="17" s="1"/>
  <c r="J230" i="17"/>
  <c r="D468" i="17"/>
  <c r="B468" i="17"/>
  <c r="A469" i="17"/>
  <c r="A467" i="16"/>
  <c r="B466" i="16"/>
  <c r="D466" i="16"/>
  <c r="F223" i="16"/>
  <c r="G223" i="16" s="1"/>
  <c r="I223" i="16"/>
  <c r="C224" i="16" s="1"/>
  <c r="J223" i="16"/>
  <c r="B496" i="18" l="1"/>
  <c r="D496" i="18"/>
  <c r="A497" i="18"/>
  <c r="E233" i="18"/>
  <c r="H233" i="18"/>
  <c r="H231" i="17"/>
  <c r="E231" i="17"/>
  <c r="A470" i="17"/>
  <c r="B469" i="17"/>
  <c r="D469" i="17"/>
  <c r="B467" i="16"/>
  <c r="A468" i="16"/>
  <c r="D467" i="16"/>
  <c r="E224" i="16"/>
  <c r="H224" i="16"/>
  <c r="D497" i="18" l="1"/>
  <c r="B497" i="18"/>
  <c r="I233" i="18"/>
  <c r="C234" i="18" s="1"/>
  <c r="F233" i="18"/>
  <c r="G233" i="18" s="1"/>
  <c r="J233" i="18"/>
  <c r="J231" i="17"/>
  <c r="I231" i="17"/>
  <c r="C232" i="17" s="1"/>
  <c r="F231" i="17"/>
  <c r="G231" i="17" s="1"/>
  <c r="B470" i="17"/>
  <c r="D470" i="17"/>
  <c r="A471" i="17"/>
  <c r="A469" i="16"/>
  <c r="D468" i="16"/>
  <c r="B468" i="16"/>
  <c r="F224" i="16"/>
  <c r="G224" i="16" s="1"/>
  <c r="I224" i="16"/>
  <c r="C225" i="16" s="1"/>
  <c r="J224" i="16"/>
  <c r="E234" i="18" l="1"/>
  <c r="H234" i="18"/>
  <c r="E232" i="17"/>
  <c r="H232" i="17"/>
  <c r="A472" i="17"/>
  <c r="D471" i="17"/>
  <c r="B471" i="17"/>
  <c r="A470" i="16"/>
  <c r="B469" i="16"/>
  <c r="D469" i="16"/>
  <c r="E225" i="16"/>
  <c r="H225" i="16"/>
  <c r="F234" i="18" l="1"/>
  <c r="G234" i="18" s="1"/>
  <c r="I234" i="18"/>
  <c r="C235" i="18" s="1"/>
  <c r="J234" i="18"/>
  <c r="I232" i="17"/>
  <c r="C233" i="17" s="1"/>
  <c r="F232" i="17"/>
  <c r="G232" i="17" s="1"/>
  <c r="J232" i="17"/>
  <c r="A473" i="17"/>
  <c r="B472" i="17"/>
  <c r="D472" i="17"/>
  <c r="A471" i="16"/>
  <c r="D470" i="16"/>
  <c r="B470" i="16"/>
  <c r="F225" i="16"/>
  <c r="G225" i="16" s="1"/>
  <c r="I225" i="16"/>
  <c r="C226" i="16" s="1"/>
  <c r="J225" i="16"/>
  <c r="H235" i="18" l="1"/>
  <c r="E235" i="18"/>
  <c r="E233" i="17"/>
  <c r="H233" i="17"/>
  <c r="A474" i="17"/>
  <c r="B473" i="17"/>
  <c r="D473" i="17"/>
  <c r="A472" i="16"/>
  <c r="D471" i="16"/>
  <c r="B471" i="16"/>
  <c r="E226" i="16"/>
  <c r="H226" i="16"/>
  <c r="J235" i="18" l="1"/>
  <c r="F235" i="18"/>
  <c r="G235" i="18" s="1"/>
  <c r="I235" i="18"/>
  <c r="C236" i="18" s="1"/>
  <c r="I233" i="17"/>
  <c r="C234" i="17" s="1"/>
  <c r="F233" i="17"/>
  <c r="G233" i="17" s="1"/>
  <c r="J233" i="17"/>
  <c r="A475" i="17"/>
  <c r="B474" i="17"/>
  <c r="D474" i="17"/>
  <c r="A473" i="16"/>
  <c r="B472" i="16"/>
  <c r="D472" i="16"/>
  <c r="F226" i="16"/>
  <c r="G226" i="16" s="1"/>
  <c r="I226" i="16"/>
  <c r="C227" i="16" s="1"/>
  <c r="J226" i="16"/>
  <c r="E236" i="18" l="1"/>
  <c r="H236" i="18"/>
  <c r="E234" i="17"/>
  <c r="H234" i="17"/>
  <c r="A476" i="17"/>
  <c r="B475" i="17"/>
  <c r="D475" i="17"/>
  <c r="A474" i="16"/>
  <c r="D473" i="16"/>
  <c r="B473" i="16"/>
  <c r="E227" i="16"/>
  <c r="H227" i="16"/>
  <c r="I236" i="18" l="1"/>
  <c r="C237" i="18" s="1"/>
  <c r="F236" i="18"/>
  <c r="G236" i="18" s="1"/>
  <c r="J236" i="18"/>
  <c r="F234" i="17"/>
  <c r="G234" i="17" s="1"/>
  <c r="I234" i="17"/>
  <c r="C235" i="17" s="1"/>
  <c r="J234" i="17"/>
  <c r="A477" i="17"/>
  <c r="B476" i="17"/>
  <c r="D476" i="17"/>
  <c r="D474" i="16"/>
  <c r="B474" i="16"/>
  <c r="A475" i="16"/>
  <c r="F227" i="16"/>
  <c r="G227" i="16" s="1"/>
  <c r="I227" i="16"/>
  <c r="C228" i="16" s="1"/>
  <c r="J227" i="16"/>
  <c r="E237" i="18" l="1"/>
  <c r="H237" i="18"/>
  <c r="E235" i="17"/>
  <c r="H235" i="17"/>
  <c r="B477" i="17"/>
  <c r="A478" i="17"/>
  <c r="D477" i="17"/>
  <c r="A476" i="16"/>
  <c r="B475" i="16"/>
  <c r="D475" i="16"/>
  <c r="E228" i="16"/>
  <c r="H228" i="16"/>
  <c r="I237" i="18" l="1"/>
  <c r="C238" i="18" s="1"/>
  <c r="F237" i="18"/>
  <c r="G237" i="18" s="1"/>
  <c r="J237" i="18"/>
  <c r="F235" i="17"/>
  <c r="G235" i="17" s="1"/>
  <c r="I235" i="17"/>
  <c r="C236" i="17" s="1"/>
  <c r="J235" i="17"/>
  <c r="A479" i="17"/>
  <c r="B478" i="17"/>
  <c r="D478" i="17"/>
  <c r="A477" i="16"/>
  <c r="D476" i="16"/>
  <c r="B476" i="16"/>
  <c r="I228" i="16"/>
  <c r="C229" i="16" s="1"/>
  <c r="F228" i="16"/>
  <c r="G228" i="16" s="1"/>
  <c r="J228" i="16"/>
  <c r="E238" i="18" l="1"/>
  <c r="H238" i="18"/>
  <c r="E236" i="17"/>
  <c r="H236" i="17"/>
  <c r="A480" i="17"/>
  <c r="D479" i="17"/>
  <c r="B479" i="17"/>
  <c r="A478" i="16"/>
  <c r="D477" i="16"/>
  <c r="B477" i="16"/>
  <c r="E229" i="16"/>
  <c r="H229" i="16"/>
  <c r="F238" i="18" l="1"/>
  <c r="G238" i="18" s="1"/>
  <c r="I238" i="18"/>
  <c r="C239" i="18" s="1"/>
  <c r="J238" i="18"/>
  <c r="I236" i="17"/>
  <c r="C237" i="17" s="1"/>
  <c r="F236" i="17"/>
  <c r="G236" i="17" s="1"/>
  <c r="J236" i="17"/>
  <c r="A481" i="17"/>
  <c r="D480" i="17"/>
  <c r="B480" i="17"/>
  <c r="A479" i="16"/>
  <c r="B478" i="16"/>
  <c r="D478" i="16"/>
  <c r="I229" i="16"/>
  <c r="C230" i="16" s="1"/>
  <c r="F229" i="16"/>
  <c r="G229" i="16" s="1"/>
  <c r="J229" i="16"/>
  <c r="E239" i="18" l="1"/>
  <c r="H239" i="18"/>
  <c r="H237" i="17"/>
  <c r="E237" i="17"/>
  <c r="A482" i="17"/>
  <c r="B481" i="17"/>
  <c r="D481" i="17"/>
  <c r="A480" i="16"/>
  <c r="D479" i="16"/>
  <c r="B479" i="16"/>
  <c r="E230" i="16"/>
  <c r="H230" i="16"/>
  <c r="I239" i="18" l="1"/>
  <c r="C240" i="18" s="1"/>
  <c r="F239" i="18"/>
  <c r="G239" i="18" s="1"/>
  <c r="J239" i="18"/>
  <c r="J237" i="17"/>
  <c r="I237" i="17"/>
  <c r="C238" i="17" s="1"/>
  <c r="F237" i="17"/>
  <c r="G237" i="17" s="1"/>
  <c r="B482" i="17"/>
  <c r="A483" i="17"/>
  <c r="D482" i="17"/>
  <c r="B480" i="16"/>
  <c r="A481" i="16"/>
  <c r="D480" i="16"/>
  <c r="F230" i="16"/>
  <c r="G230" i="16" s="1"/>
  <c r="I230" i="16"/>
  <c r="C231" i="16" s="1"/>
  <c r="J230" i="16"/>
  <c r="E240" i="18" l="1"/>
  <c r="H240" i="18"/>
  <c r="H238" i="17"/>
  <c r="E238" i="17"/>
  <c r="A484" i="17"/>
  <c r="B483" i="17"/>
  <c r="D483" i="17"/>
  <c r="A482" i="16"/>
  <c r="D481" i="16"/>
  <c r="B481" i="16"/>
  <c r="E231" i="16"/>
  <c r="H231" i="16"/>
  <c r="F240" i="18" l="1"/>
  <c r="G240" i="18" s="1"/>
  <c r="I240" i="18"/>
  <c r="C241" i="18" s="1"/>
  <c r="J240" i="18"/>
  <c r="J238" i="17"/>
  <c r="I238" i="17"/>
  <c r="C239" i="17" s="1"/>
  <c r="F238" i="17"/>
  <c r="G238" i="17" s="1"/>
  <c r="A485" i="17"/>
  <c r="B484" i="17"/>
  <c r="D484" i="17"/>
  <c r="A483" i="16"/>
  <c r="D482" i="16"/>
  <c r="B482" i="16"/>
  <c r="I231" i="16"/>
  <c r="C232" i="16" s="1"/>
  <c r="F231" i="16"/>
  <c r="G231" i="16" s="1"/>
  <c r="J231" i="16"/>
  <c r="E241" i="18" l="1"/>
  <c r="H241" i="18"/>
  <c r="E239" i="17"/>
  <c r="H239" i="17"/>
  <c r="B485" i="17"/>
  <c r="D485" i="17"/>
  <c r="A486" i="17"/>
  <c r="B483" i="16"/>
  <c r="A484" i="16"/>
  <c r="D483" i="16"/>
  <c r="E232" i="16"/>
  <c r="H232" i="16"/>
  <c r="F241" i="18" l="1"/>
  <c r="G241" i="18" s="1"/>
  <c r="I241" i="18"/>
  <c r="C242" i="18" s="1"/>
  <c r="J241" i="18"/>
  <c r="I239" i="17"/>
  <c r="C240" i="17" s="1"/>
  <c r="F239" i="17"/>
  <c r="G239" i="17" s="1"/>
  <c r="J239" i="17"/>
  <c r="B486" i="17"/>
  <c r="A487" i="17"/>
  <c r="D486" i="17"/>
  <c r="A485" i="16"/>
  <c r="B484" i="16"/>
  <c r="D484" i="16"/>
  <c r="I232" i="16"/>
  <c r="C233" i="16" s="1"/>
  <c r="F232" i="16"/>
  <c r="G232" i="16" s="1"/>
  <c r="J232" i="16"/>
  <c r="E242" i="18" l="1"/>
  <c r="H242" i="18"/>
  <c r="H240" i="17"/>
  <c r="E240" i="17"/>
  <c r="A488" i="17"/>
  <c r="D487" i="17"/>
  <c r="B487" i="17"/>
  <c r="A486" i="16"/>
  <c r="B485" i="16"/>
  <c r="D485" i="16"/>
  <c r="E233" i="16"/>
  <c r="H233" i="16"/>
  <c r="F242" i="18" l="1"/>
  <c r="G242" i="18" s="1"/>
  <c r="I242" i="18"/>
  <c r="C243" i="18" s="1"/>
  <c r="J242" i="18"/>
  <c r="J240" i="17"/>
  <c r="I240" i="17"/>
  <c r="C241" i="17" s="1"/>
  <c r="F240" i="17"/>
  <c r="G240" i="17" s="1"/>
  <c r="B488" i="17"/>
  <c r="A489" i="17"/>
  <c r="D488" i="17"/>
  <c r="A487" i="16"/>
  <c r="D486" i="16"/>
  <c r="B486" i="16"/>
  <c r="I233" i="16"/>
  <c r="C234" i="16" s="1"/>
  <c r="F233" i="16"/>
  <c r="G233" i="16" s="1"/>
  <c r="J233" i="16"/>
  <c r="E243" i="18" l="1"/>
  <c r="H243" i="18"/>
  <c r="E241" i="17"/>
  <c r="H241" i="17"/>
  <c r="B489" i="17"/>
  <c r="A490" i="17"/>
  <c r="D489" i="17"/>
  <c r="D487" i="16"/>
  <c r="A488" i="16"/>
  <c r="B487" i="16"/>
  <c r="E234" i="16"/>
  <c r="H234" i="16"/>
  <c r="F243" i="18" l="1"/>
  <c r="G243" i="18" s="1"/>
  <c r="I243" i="18"/>
  <c r="C244" i="18" s="1"/>
  <c r="J243" i="18"/>
  <c r="F241" i="17"/>
  <c r="G241" i="17" s="1"/>
  <c r="I241" i="17"/>
  <c r="C242" i="17" s="1"/>
  <c r="J241" i="17"/>
  <c r="B490" i="17"/>
  <c r="A491" i="17"/>
  <c r="D490" i="17"/>
  <c r="A489" i="16"/>
  <c r="D488" i="16"/>
  <c r="B488" i="16"/>
  <c r="F234" i="16"/>
  <c r="G234" i="16" s="1"/>
  <c r="I234" i="16"/>
  <c r="C235" i="16" s="1"/>
  <c r="J234" i="16"/>
  <c r="E244" i="18" l="1"/>
  <c r="H244" i="18"/>
  <c r="E242" i="17"/>
  <c r="H242" i="17"/>
  <c r="A492" i="17"/>
  <c r="B491" i="17"/>
  <c r="D491" i="17"/>
  <c r="A490" i="16"/>
  <c r="D489" i="16"/>
  <c r="B489" i="16"/>
  <c r="E235" i="16"/>
  <c r="H235" i="16"/>
  <c r="F244" i="18" l="1"/>
  <c r="G244" i="18" s="1"/>
  <c r="I244" i="18"/>
  <c r="C245" i="18" s="1"/>
  <c r="J244" i="18"/>
  <c r="I242" i="17"/>
  <c r="C243" i="17" s="1"/>
  <c r="F242" i="17"/>
  <c r="G242" i="17" s="1"/>
  <c r="J242" i="17"/>
  <c r="A493" i="17"/>
  <c r="B492" i="17"/>
  <c r="D492" i="17"/>
  <c r="A491" i="16"/>
  <c r="D490" i="16"/>
  <c r="B490" i="16"/>
  <c r="F235" i="16"/>
  <c r="G235" i="16" s="1"/>
  <c r="I235" i="16"/>
  <c r="C236" i="16" s="1"/>
  <c r="J235" i="16"/>
  <c r="E245" i="18" l="1"/>
  <c r="H245" i="18"/>
  <c r="E243" i="17"/>
  <c r="H243" i="17"/>
  <c r="A494" i="17"/>
  <c r="D493" i="17"/>
  <c r="B493" i="17"/>
  <c r="B491" i="16"/>
  <c r="A492" i="16"/>
  <c r="D491" i="16"/>
  <c r="E236" i="16"/>
  <c r="H236" i="16"/>
  <c r="F245" i="18" l="1"/>
  <c r="G245" i="18" s="1"/>
  <c r="I245" i="18"/>
  <c r="C246" i="18" s="1"/>
  <c r="J245" i="18"/>
  <c r="I243" i="17"/>
  <c r="C244" i="17" s="1"/>
  <c r="F243" i="17"/>
  <c r="G243" i="17" s="1"/>
  <c r="J243" i="17"/>
  <c r="A495" i="17"/>
  <c r="B494" i="17"/>
  <c r="D494" i="17"/>
  <c r="A493" i="16"/>
  <c r="B492" i="16"/>
  <c r="D492" i="16"/>
  <c r="I236" i="16"/>
  <c r="C237" i="16" s="1"/>
  <c r="F236" i="16"/>
  <c r="G236" i="16" s="1"/>
  <c r="J236" i="16"/>
  <c r="E246" i="18" l="1"/>
  <c r="H246" i="18"/>
  <c r="H244" i="17"/>
  <c r="E244" i="17"/>
  <c r="A496" i="17"/>
  <c r="D495" i="17"/>
  <c r="B495" i="17"/>
  <c r="A494" i="16"/>
  <c r="D493" i="16"/>
  <c r="B493" i="16"/>
  <c r="E237" i="16"/>
  <c r="H237" i="16"/>
  <c r="F246" i="18" l="1"/>
  <c r="G246" i="18" s="1"/>
  <c r="I246" i="18"/>
  <c r="C247" i="18" s="1"/>
  <c r="J246" i="18"/>
  <c r="J244" i="17"/>
  <c r="F244" i="17"/>
  <c r="G244" i="17" s="1"/>
  <c r="I244" i="17"/>
  <c r="C245" i="17" s="1"/>
  <c r="A497" i="17"/>
  <c r="D496" i="17"/>
  <c r="B496" i="17"/>
  <c r="A495" i="16"/>
  <c r="D494" i="16"/>
  <c r="B494" i="16"/>
  <c r="I237" i="16"/>
  <c r="C238" i="16" s="1"/>
  <c r="F237" i="16"/>
  <c r="G237" i="16" s="1"/>
  <c r="J237" i="16"/>
  <c r="E247" i="18" l="1"/>
  <c r="H247" i="18"/>
  <c r="E245" i="17"/>
  <c r="H245" i="17"/>
  <c r="B497" i="17"/>
  <c r="D497" i="17"/>
  <c r="A496" i="16"/>
  <c r="B495" i="16"/>
  <c r="D495" i="16"/>
  <c r="E238" i="16"/>
  <c r="H238" i="16"/>
  <c r="I247" i="18" l="1"/>
  <c r="C248" i="18" s="1"/>
  <c r="F247" i="18"/>
  <c r="G247" i="18" s="1"/>
  <c r="J247" i="18"/>
  <c r="I245" i="17"/>
  <c r="C246" i="17" s="1"/>
  <c r="F245" i="17"/>
  <c r="G245" i="17" s="1"/>
  <c r="J245" i="17"/>
  <c r="A497" i="16"/>
  <c r="B496" i="16"/>
  <c r="D496" i="16"/>
  <c r="I238" i="16"/>
  <c r="C239" i="16" s="1"/>
  <c r="F238" i="16"/>
  <c r="G238" i="16" s="1"/>
  <c r="J238" i="16"/>
  <c r="E248" i="18" l="1"/>
  <c r="H248" i="18"/>
  <c r="H246" i="17"/>
  <c r="E246" i="17"/>
  <c r="D497" i="16"/>
  <c r="B497" i="16"/>
  <c r="E239" i="16"/>
  <c r="H239" i="16"/>
  <c r="I248" i="18" l="1"/>
  <c r="C249" i="18" s="1"/>
  <c r="F248" i="18"/>
  <c r="G248" i="18" s="1"/>
  <c r="J248" i="18"/>
  <c r="J246" i="17"/>
  <c r="I246" i="17"/>
  <c r="C247" i="17" s="1"/>
  <c r="F246" i="17"/>
  <c r="G246" i="17" s="1"/>
  <c r="I239" i="16"/>
  <c r="C240" i="16" s="1"/>
  <c r="F239" i="16"/>
  <c r="G239" i="16" s="1"/>
  <c r="J239" i="16"/>
  <c r="E249" i="18" l="1"/>
  <c r="H249" i="18"/>
  <c r="E247" i="17"/>
  <c r="H247" i="17"/>
  <c r="E240" i="16"/>
  <c r="H240" i="16"/>
  <c r="I249" i="18" l="1"/>
  <c r="C250" i="18" s="1"/>
  <c r="F249" i="18"/>
  <c r="G249" i="18" s="1"/>
  <c r="J249" i="18"/>
  <c r="F247" i="17"/>
  <c r="G247" i="17" s="1"/>
  <c r="I247" i="17"/>
  <c r="C248" i="17" s="1"/>
  <c r="J247" i="17"/>
  <c r="I240" i="16"/>
  <c r="C241" i="16" s="1"/>
  <c r="F240" i="16"/>
  <c r="G240" i="16" s="1"/>
  <c r="J240" i="16"/>
  <c r="E250" i="18" l="1"/>
  <c r="H250" i="18"/>
  <c r="E248" i="17"/>
  <c r="H248" i="17"/>
  <c r="E241" i="16"/>
  <c r="H241" i="16"/>
  <c r="I250" i="18" l="1"/>
  <c r="C251" i="18" s="1"/>
  <c r="F250" i="18"/>
  <c r="G250" i="18" s="1"/>
  <c r="J250" i="18"/>
  <c r="F248" i="17"/>
  <c r="G248" i="17" s="1"/>
  <c r="I248" i="17"/>
  <c r="C249" i="17" s="1"/>
  <c r="J248" i="17"/>
  <c r="I241" i="16"/>
  <c r="C242" i="16" s="1"/>
  <c r="F241" i="16"/>
  <c r="G241" i="16" s="1"/>
  <c r="J241" i="16"/>
  <c r="E251" i="18" l="1"/>
  <c r="H251" i="18"/>
  <c r="E249" i="17"/>
  <c r="H249" i="17"/>
  <c r="E242" i="16"/>
  <c r="H242" i="16"/>
  <c r="I251" i="18" l="1"/>
  <c r="C252" i="18" s="1"/>
  <c r="F251" i="18"/>
  <c r="G251" i="18" s="1"/>
  <c r="J251" i="18"/>
  <c r="F249" i="17"/>
  <c r="G249" i="17" s="1"/>
  <c r="I249" i="17"/>
  <c r="C250" i="17" s="1"/>
  <c r="J249" i="17"/>
  <c r="I242" i="16"/>
  <c r="C243" i="16" s="1"/>
  <c r="F242" i="16"/>
  <c r="G242" i="16" s="1"/>
  <c r="J242" i="16"/>
  <c r="E252" i="18" l="1"/>
  <c r="H252" i="18"/>
  <c r="E250" i="17"/>
  <c r="H250" i="17"/>
  <c r="E243" i="16"/>
  <c r="H243" i="16"/>
  <c r="F252" i="18" l="1"/>
  <c r="G252" i="18" s="1"/>
  <c r="I252" i="18"/>
  <c r="C253" i="18" s="1"/>
  <c r="J252" i="18"/>
  <c r="F250" i="17"/>
  <c r="G250" i="17" s="1"/>
  <c r="I250" i="17"/>
  <c r="C251" i="17" s="1"/>
  <c r="J250" i="17"/>
  <c r="I243" i="16"/>
  <c r="C244" i="16" s="1"/>
  <c r="F243" i="16"/>
  <c r="G243" i="16" s="1"/>
  <c r="J243" i="16"/>
  <c r="H253" i="18" l="1"/>
  <c r="E253" i="18"/>
  <c r="E251" i="17"/>
  <c r="H251" i="17"/>
  <c r="E244" i="16"/>
  <c r="H244" i="16"/>
  <c r="J253" i="18" l="1"/>
  <c r="F253" i="18"/>
  <c r="G253" i="18" s="1"/>
  <c r="I253" i="18"/>
  <c r="C254" i="18" s="1"/>
  <c r="F251" i="17"/>
  <c r="G251" i="17" s="1"/>
  <c r="I251" i="17"/>
  <c r="C252" i="17" s="1"/>
  <c r="J251" i="17"/>
  <c r="F244" i="16"/>
  <c r="G244" i="16" s="1"/>
  <c r="I244" i="16"/>
  <c r="C245" i="16" s="1"/>
  <c r="J244" i="16"/>
  <c r="E254" i="18" l="1"/>
  <c r="H254" i="18"/>
  <c r="H252" i="17"/>
  <c r="E252" i="17"/>
  <c r="E245" i="16"/>
  <c r="H245" i="16"/>
  <c r="I254" i="18" l="1"/>
  <c r="C255" i="18" s="1"/>
  <c r="F254" i="18"/>
  <c r="G254" i="18" s="1"/>
  <c r="J254" i="18"/>
  <c r="J252" i="17"/>
  <c r="I252" i="17"/>
  <c r="C253" i="17" s="1"/>
  <c r="F252" i="17"/>
  <c r="G252" i="17" s="1"/>
  <c r="F245" i="16"/>
  <c r="G245" i="16" s="1"/>
  <c r="I245" i="16"/>
  <c r="C246" i="16" s="1"/>
  <c r="J245" i="16"/>
  <c r="E255" i="18" l="1"/>
  <c r="H255" i="18"/>
  <c r="H253" i="17"/>
  <c r="E253" i="17"/>
  <c r="E246" i="16"/>
  <c r="H246" i="16"/>
  <c r="F255" i="18" l="1"/>
  <c r="G255" i="18" s="1"/>
  <c r="I255" i="18"/>
  <c r="C256" i="18" s="1"/>
  <c r="J255" i="18"/>
  <c r="J253" i="17"/>
  <c r="F253" i="17"/>
  <c r="G253" i="17" s="1"/>
  <c r="I253" i="17"/>
  <c r="C254" i="17" s="1"/>
  <c r="F246" i="16"/>
  <c r="G246" i="16" s="1"/>
  <c r="I246" i="16"/>
  <c r="C247" i="16" s="1"/>
  <c r="J246" i="16"/>
  <c r="E256" i="18" l="1"/>
  <c r="H256" i="18"/>
  <c r="H254" i="17"/>
  <c r="E254" i="17"/>
  <c r="H247" i="16"/>
  <c r="E247" i="16"/>
  <c r="I256" i="18" l="1"/>
  <c r="C257" i="18" s="1"/>
  <c r="F256" i="18"/>
  <c r="G256" i="18" s="1"/>
  <c r="J256" i="18"/>
  <c r="J254" i="17"/>
  <c r="I254" i="17"/>
  <c r="C255" i="17" s="1"/>
  <c r="F254" i="17"/>
  <c r="G254" i="17" s="1"/>
  <c r="J247" i="16"/>
  <c r="F247" i="16"/>
  <c r="G247" i="16" s="1"/>
  <c r="I247" i="16"/>
  <c r="C248" i="16" s="1"/>
  <c r="E257" i="18" l="1"/>
  <c r="H257" i="18"/>
  <c r="E255" i="17"/>
  <c r="H255" i="17"/>
  <c r="E248" i="16"/>
  <c r="H248" i="16"/>
  <c r="F257" i="18" l="1"/>
  <c r="G257" i="18" s="1"/>
  <c r="I257" i="18"/>
  <c r="C258" i="18" s="1"/>
  <c r="J257" i="18"/>
  <c r="F255" i="17"/>
  <c r="G255" i="17" s="1"/>
  <c r="I255" i="17"/>
  <c r="C256" i="17" s="1"/>
  <c r="J255" i="17"/>
  <c r="F248" i="16"/>
  <c r="G248" i="16" s="1"/>
  <c r="I248" i="16"/>
  <c r="C249" i="16" s="1"/>
  <c r="J248" i="16"/>
  <c r="E258" i="18" l="1"/>
  <c r="H258" i="18"/>
  <c r="E256" i="17"/>
  <c r="H256" i="17"/>
  <c r="E249" i="16"/>
  <c r="H249" i="16"/>
  <c r="I258" i="18" l="1"/>
  <c r="C259" i="18" s="1"/>
  <c r="F258" i="18"/>
  <c r="G258" i="18" s="1"/>
  <c r="J258" i="18"/>
  <c r="F256" i="17"/>
  <c r="G256" i="17" s="1"/>
  <c r="I256" i="17"/>
  <c r="C257" i="17" s="1"/>
  <c r="J256" i="17"/>
  <c r="F249" i="16"/>
  <c r="G249" i="16" s="1"/>
  <c r="I249" i="16"/>
  <c r="C250" i="16" s="1"/>
  <c r="J249" i="16"/>
  <c r="H259" i="18" l="1"/>
  <c r="E259" i="18"/>
  <c r="E257" i="17"/>
  <c r="H257" i="17"/>
  <c r="E250" i="16"/>
  <c r="H250" i="16"/>
  <c r="J259" i="18" l="1"/>
  <c r="F259" i="18"/>
  <c r="G259" i="18" s="1"/>
  <c r="I259" i="18"/>
  <c r="C260" i="18" s="1"/>
  <c r="F257" i="17"/>
  <c r="G257" i="17" s="1"/>
  <c r="I257" i="17"/>
  <c r="C258" i="17" s="1"/>
  <c r="J257" i="17"/>
  <c r="F250" i="16"/>
  <c r="G250" i="16" s="1"/>
  <c r="I250" i="16"/>
  <c r="C251" i="16" s="1"/>
  <c r="J250" i="16"/>
  <c r="H260" i="18" l="1"/>
  <c r="E260" i="18"/>
  <c r="E258" i="17"/>
  <c r="H258" i="17"/>
  <c r="H251" i="16"/>
  <c r="E251" i="16"/>
  <c r="J260" i="18" l="1"/>
  <c r="I260" i="18"/>
  <c r="C261" i="18" s="1"/>
  <c r="F260" i="18"/>
  <c r="G260" i="18" s="1"/>
  <c r="F258" i="17"/>
  <c r="G258" i="17" s="1"/>
  <c r="I258" i="17"/>
  <c r="C259" i="17" s="1"/>
  <c r="J258" i="17"/>
  <c r="J251" i="16"/>
  <c r="F251" i="16"/>
  <c r="G251" i="16" s="1"/>
  <c r="I251" i="16"/>
  <c r="C252" i="16" s="1"/>
  <c r="E261" i="18" l="1"/>
  <c r="H261" i="18"/>
  <c r="E259" i="17"/>
  <c r="H259" i="17"/>
  <c r="E252" i="16"/>
  <c r="H252" i="16"/>
  <c r="I261" i="18" l="1"/>
  <c r="C262" i="18" s="1"/>
  <c r="F261" i="18"/>
  <c r="G261" i="18" s="1"/>
  <c r="J261" i="18"/>
  <c r="F259" i="17"/>
  <c r="G259" i="17" s="1"/>
  <c r="I259" i="17"/>
  <c r="C260" i="17" s="1"/>
  <c r="J259" i="17"/>
  <c r="I252" i="16"/>
  <c r="C253" i="16" s="1"/>
  <c r="F252" i="16"/>
  <c r="G252" i="16" s="1"/>
  <c r="J252" i="16"/>
  <c r="E262" i="18" l="1"/>
  <c r="H262" i="18"/>
  <c r="E260" i="17"/>
  <c r="H260" i="17"/>
  <c r="E253" i="16"/>
  <c r="H253" i="16"/>
  <c r="F262" i="18" l="1"/>
  <c r="G262" i="18" s="1"/>
  <c r="I262" i="18"/>
  <c r="C263" i="18" s="1"/>
  <c r="J262" i="18"/>
  <c r="I260" i="17"/>
  <c r="C261" i="17" s="1"/>
  <c r="F260" i="17"/>
  <c r="G260" i="17" s="1"/>
  <c r="J260" i="17"/>
  <c r="I253" i="16"/>
  <c r="C254" i="16" s="1"/>
  <c r="F253" i="16"/>
  <c r="G253" i="16" s="1"/>
  <c r="J253" i="16"/>
  <c r="E263" i="18" l="1"/>
  <c r="H263" i="18"/>
  <c r="H261" i="17"/>
  <c r="E261" i="17"/>
  <c r="E254" i="16"/>
  <c r="H254" i="16"/>
  <c r="F263" i="18" l="1"/>
  <c r="G263" i="18" s="1"/>
  <c r="I263" i="18"/>
  <c r="C264" i="18" s="1"/>
  <c r="J263" i="18"/>
  <c r="J261" i="17"/>
  <c r="I261" i="17"/>
  <c r="C262" i="17" s="1"/>
  <c r="F261" i="17"/>
  <c r="G261" i="17" s="1"/>
  <c r="F254" i="16"/>
  <c r="G254" i="16" s="1"/>
  <c r="I254" i="16"/>
  <c r="C255" i="16" s="1"/>
  <c r="J254" i="16"/>
  <c r="H264" i="18" l="1"/>
  <c r="E264" i="18"/>
  <c r="E262" i="17"/>
  <c r="H262" i="17"/>
  <c r="E255" i="16"/>
  <c r="H255" i="16"/>
  <c r="J264" i="18" l="1"/>
  <c r="I264" i="18"/>
  <c r="C265" i="18" s="1"/>
  <c r="F264" i="18"/>
  <c r="G264" i="18" s="1"/>
  <c r="I262" i="17"/>
  <c r="C263" i="17" s="1"/>
  <c r="F262" i="17"/>
  <c r="G262" i="17" s="1"/>
  <c r="J262" i="17"/>
  <c r="F255" i="16"/>
  <c r="G255" i="16" s="1"/>
  <c r="I255" i="16"/>
  <c r="C256" i="16" s="1"/>
  <c r="J255" i="16"/>
  <c r="E265" i="18" l="1"/>
  <c r="H265" i="18"/>
  <c r="H263" i="17"/>
  <c r="E263" i="17"/>
  <c r="E256" i="16"/>
  <c r="H256" i="16"/>
  <c r="F265" i="18" l="1"/>
  <c r="G265" i="18" s="1"/>
  <c r="I265" i="18"/>
  <c r="C266" i="18" s="1"/>
  <c r="J265" i="18"/>
  <c r="J263" i="17"/>
  <c r="I263" i="17"/>
  <c r="C264" i="17" s="1"/>
  <c r="F263" i="17"/>
  <c r="G263" i="17" s="1"/>
  <c r="F256" i="16"/>
  <c r="G256" i="16" s="1"/>
  <c r="I256" i="16"/>
  <c r="C257" i="16" s="1"/>
  <c r="J256" i="16"/>
  <c r="E266" i="18" l="1"/>
  <c r="H266" i="18"/>
  <c r="E264" i="17"/>
  <c r="H264" i="17"/>
  <c r="E257" i="16"/>
  <c r="H257" i="16"/>
  <c r="F266" i="18" l="1"/>
  <c r="G266" i="18" s="1"/>
  <c r="I266" i="18"/>
  <c r="C267" i="18" s="1"/>
  <c r="J266" i="18"/>
  <c r="I264" i="17"/>
  <c r="C265" i="17" s="1"/>
  <c r="F264" i="17"/>
  <c r="G264" i="17" s="1"/>
  <c r="J264" i="17"/>
  <c r="I257" i="16"/>
  <c r="C258" i="16" s="1"/>
  <c r="F257" i="16"/>
  <c r="G257" i="16" s="1"/>
  <c r="J257" i="16"/>
  <c r="E267" i="18" l="1"/>
  <c r="H267" i="18"/>
  <c r="E265" i="17"/>
  <c r="H265" i="17"/>
  <c r="E258" i="16"/>
  <c r="H258" i="16"/>
  <c r="I267" i="18" l="1"/>
  <c r="C268" i="18" s="1"/>
  <c r="F267" i="18"/>
  <c r="G267" i="18" s="1"/>
  <c r="J267" i="18"/>
  <c r="I265" i="17"/>
  <c r="C266" i="17" s="1"/>
  <c r="F265" i="17"/>
  <c r="G265" i="17" s="1"/>
  <c r="J265" i="17"/>
  <c r="I258" i="16"/>
  <c r="C259" i="16" s="1"/>
  <c r="F258" i="16"/>
  <c r="G258" i="16" s="1"/>
  <c r="J258" i="16"/>
  <c r="E268" i="18" l="1"/>
  <c r="H268" i="18"/>
  <c r="H266" i="17"/>
  <c r="E266" i="17"/>
  <c r="E259" i="16"/>
  <c r="H259" i="16"/>
  <c r="F268" i="18" l="1"/>
  <c r="G268" i="18" s="1"/>
  <c r="I268" i="18"/>
  <c r="C269" i="18" s="1"/>
  <c r="J268" i="18"/>
  <c r="J266" i="17"/>
  <c r="F266" i="17"/>
  <c r="G266" i="17" s="1"/>
  <c r="I266" i="17"/>
  <c r="C267" i="17" s="1"/>
  <c r="I259" i="16"/>
  <c r="C260" i="16" s="1"/>
  <c r="F259" i="16"/>
  <c r="G259" i="16" s="1"/>
  <c r="J259" i="16"/>
  <c r="E269" i="18" l="1"/>
  <c r="H269" i="18"/>
  <c r="E267" i="17"/>
  <c r="H267" i="17"/>
  <c r="H260" i="16"/>
  <c r="E260" i="16"/>
  <c r="F269" i="18" l="1"/>
  <c r="G269" i="18" s="1"/>
  <c r="I269" i="18"/>
  <c r="C270" i="18" s="1"/>
  <c r="J269" i="18"/>
  <c r="I267" i="17"/>
  <c r="C268" i="17" s="1"/>
  <c r="F267" i="17"/>
  <c r="G267" i="17" s="1"/>
  <c r="J267" i="17"/>
  <c r="J260" i="16"/>
  <c r="I260" i="16"/>
  <c r="C261" i="16" s="1"/>
  <c r="F260" i="16"/>
  <c r="G260" i="16" s="1"/>
  <c r="H270" i="18" l="1"/>
  <c r="E270" i="18"/>
  <c r="E268" i="17"/>
  <c r="H268" i="17"/>
  <c r="H261" i="16"/>
  <c r="E261" i="16"/>
  <c r="J270" i="18" l="1"/>
  <c r="F270" i="18"/>
  <c r="G270" i="18" s="1"/>
  <c r="I270" i="18"/>
  <c r="C271" i="18" s="1"/>
  <c r="I268" i="17"/>
  <c r="C269" i="17" s="1"/>
  <c r="F268" i="17"/>
  <c r="G268" i="17" s="1"/>
  <c r="J268" i="17"/>
  <c r="J261" i="16"/>
  <c r="F261" i="16"/>
  <c r="G261" i="16" s="1"/>
  <c r="I261" i="16"/>
  <c r="C262" i="16" s="1"/>
  <c r="H271" i="18" l="1"/>
  <c r="E271" i="18"/>
  <c r="H269" i="17"/>
  <c r="E269" i="17"/>
  <c r="E262" i="16"/>
  <c r="H262" i="16"/>
  <c r="J271" i="18" l="1"/>
  <c r="I271" i="18"/>
  <c r="C272" i="18" s="1"/>
  <c r="F271" i="18"/>
  <c r="G271" i="18" s="1"/>
  <c r="J269" i="17"/>
  <c r="F269" i="17"/>
  <c r="G269" i="17" s="1"/>
  <c r="I269" i="17"/>
  <c r="C270" i="17" s="1"/>
  <c r="F262" i="16"/>
  <c r="G262" i="16" s="1"/>
  <c r="I262" i="16"/>
  <c r="C263" i="16" s="1"/>
  <c r="J262" i="16"/>
  <c r="E272" i="18" l="1"/>
  <c r="H272" i="18"/>
  <c r="E270" i="17"/>
  <c r="H270" i="17"/>
  <c r="E263" i="16"/>
  <c r="H263" i="16"/>
  <c r="F272" i="18" l="1"/>
  <c r="G272" i="18" s="1"/>
  <c r="I272" i="18"/>
  <c r="C273" i="18" s="1"/>
  <c r="J272" i="18"/>
  <c r="I270" i="17"/>
  <c r="C271" i="17" s="1"/>
  <c r="F270" i="17"/>
  <c r="G270" i="17" s="1"/>
  <c r="J270" i="17"/>
  <c r="F263" i="16"/>
  <c r="G263" i="16" s="1"/>
  <c r="I263" i="16"/>
  <c r="C264" i="16" s="1"/>
  <c r="J263" i="16"/>
  <c r="H273" i="18" l="1"/>
  <c r="E273" i="18"/>
  <c r="E271" i="17"/>
  <c r="H271" i="17"/>
  <c r="E264" i="16"/>
  <c r="H264" i="16"/>
  <c r="J273" i="18" l="1"/>
  <c r="F273" i="18"/>
  <c r="G273" i="18" s="1"/>
  <c r="I273" i="18"/>
  <c r="C274" i="18" s="1"/>
  <c r="F271" i="17"/>
  <c r="G271" i="17" s="1"/>
  <c r="I271" i="17"/>
  <c r="C272" i="17" s="1"/>
  <c r="J271" i="17"/>
  <c r="F264" i="16"/>
  <c r="G264" i="16" s="1"/>
  <c r="I264" i="16"/>
  <c r="C265" i="16" s="1"/>
  <c r="J264" i="16"/>
  <c r="E274" i="18" l="1"/>
  <c r="H274" i="18"/>
  <c r="E272" i="17"/>
  <c r="H272" i="17"/>
  <c r="E265" i="16"/>
  <c r="H265" i="16"/>
  <c r="F274" i="18" l="1"/>
  <c r="G274" i="18" s="1"/>
  <c r="I274" i="18"/>
  <c r="C275" i="18" s="1"/>
  <c r="J274" i="18"/>
  <c r="F272" i="17"/>
  <c r="G272" i="17" s="1"/>
  <c r="I272" i="17"/>
  <c r="C273" i="17" s="1"/>
  <c r="J272" i="17"/>
  <c r="F265" i="16"/>
  <c r="G265" i="16" s="1"/>
  <c r="I265" i="16"/>
  <c r="C266" i="16" s="1"/>
  <c r="J265" i="16"/>
  <c r="H275" i="18" l="1"/>
  <c r="E275" i="18"/>
  <c r="H273" i="17"/>
  <c r="E273" i="17"/>
  <c r="E266" i="16"/>
  <c r="H266" i="16"/>
  <c r="J275" i="18" l="1"/>
  <c r="I275" i="18"/>
  <c r="C276" i="18" s="1"/>
  <c r="F275" i="18"/>
  <c r="G275" i="18" s="1"/>
  <c r="J273" i="17"/>
  <c r="F273" i="17"/>
  <c r="G273" i="17" s="1"/>
  <c r="I273" i="17"/>
  <c r="C274" i="17" s="1"/>
  <c r="F266" i="16"/>
  <c r="G266" i="16" s="1"/>
  <c r="I266" i="16"/>
  <c r="C267" i="16" s="1"/>
  <c r="J266" i="16"/>
  <c r="E276" i="18" l="1"/>
  <c r="H276" i="18"/>
  <c r="H274" i="17"/>
  <c r="E274" i="17"/>
  <c r="E267" i="16"/>
  <c r="H267" i="16"/>
  <c r="F276" i="18" l="1"/>
  <c r="G276" i="18" s="1"/>
  <c r="I276" i="18"/>
  <c r="C277" i="18" s="1"/>
  <c r="J276" i="18"/>
  <c r="J274" i="17"/>
  <c r="I274" i="17"/>
  <c r="C275" i="17" s="1"/>
  <c r="F274" i="17"/>
  <c r="G274" i="17" s="1"/>
  <c r="F267" i="16"/>
  <c r="G267" i="16" s="1"/>
  <c r="I267" i="16"/>
  <c r="C268" i="16" s="1"/>
  <c r="J267" i="16"/>
  <c r="E277" i="18" l="1"/>
  <c r="H277" i="18"/>
  <c r="E275" i="17"/>
  <c r="H275" i="17"/>
  <c r="E268" i="16"/>
  <c r="H268" i="16"/>
  <c r="F277" i="18" l="1"/>
  <c r="G277" i="18" s="1"/>
  <c r="I277" i="18"/>
  <c r="C278" i="18" s="1"/>
  <c r="J277" i="18"/>
  <c r="F275" i="17"/>
  <c r="G275" i="17" s="1"/>
  <c r="I275" i="17"/>
  <c r="C276" i="17" s="1"/>
  <c r="J275" i="17"/>
  <c r="F268" i="16"/>
  <c r="G268" i="16" s="1"/>
  <c r="I268" i="16"/>
  <c r="C269" i="16" s="1"/>
  <c r="J268" i="16"/>
  <c r="E278" i="18" l="1"/>
  <c r="H278" i="18"/>
  <c r="H276" i="17"/>
  <c r="E276" i="17"/>
  <c r="E269" i="16"/>
  <c r="H269" i="16"/>
  <c r="I278" i="18" l="1"/>
  <c r="C279" i="18" s="1"/>
  <c r="F278" i="18"/>
  <c r="G278" i="18" s="1"/>
  <c r="J278" i="18"/>
  <c r="J276" i="17"/>
  <c r="F276" i="17"/>
  <c r="G276" i="17" s="1"/>
  <c r="I276" i="17"/>
  <c r="C277" i="17" s="1"/>
  <c r="I269" i="16"/>
  <c r="C270" i="16" s="1"/>
  <c r="F269" i="16"/>
  <c r="G269" i="16" s="1"/>
  <c r="J269" i="16"/>
  <c r="E279" i="18" l="1"/>
  <c r="H279" i="18"/>
  <c r="E277" i="17"/>
  <c r="H277" i="17"/>
  <c r="E270" i="16"/>
  <c r="H270" i="16"/>
  <c r="I279" i="18" l="1"/>
  <c r="C280" i="18" s="1"/>
  <c r="F279" i="18"/>
  <c r="G279" i="18" s="1"/>
  <c r="J279" i="18"/>
  <c r="F277" i="17"/>
  <c r="G277" i="17" s="1"/>
  <c r="I277" i="17"/>
  <c r="C278" i="17" s="1"/>
  <c r="J277" i="17"/>
  <c r="F270" i="16"/>
  <c r="G270" i="16" s="1"/>
  <c r="I270" i="16"/>
  <c r="C271" i="16" s="1"/>
  <c r="J270" i="16"/>
  <c r="E280" i="18" l="1"/>
  <c r="H280" i="18"/>
  <c r="H278" i="17"/>
  <c r="E278" i="17"/>
  <c r="E271" i="16"/>
  <c r="H271" i="16"/>
  <c r="F280" i="18" l="1"/>
  <c r="G280" i="18" s="1"/>
  <c r="I280" i="18"/>
  <c r="C281" i="18" s="1"/>
  <c r="J280" i="18"/>
  <c r="J278" i="17"/>
  <c r="F278" i="17"/>
  <c r="G278" i="17" s="1"/>
  <c r="I278" i="17"/>
  <c r="C279" i="17" s="1"/>
  <c r="F271" i="16"/>
  <c r="G271" i="16" s="1"/>
  <c r="I271" i="16"/>
  <c r="C272" i="16" s="1"/>
  <c r="J271" i="16"/>
  <c r="H281" i="18" l="1"/>
  <c r="E281" i="18"/>
  <c r="H279" i="17"/>
  <c r="E279" i="17"/>
  <c r="H272" i="16"/>
  <c r="E272" i="16"/>
  <c r="J281" i="18" l="1"/>
  <c r="I281" i="18"/>
  <c r="C282" i="18" s="1"/>
  <c r="F281" i="18"/>
  <c r="G281" i="18" s="1"/>
  <c r="J279" i="17"/>
  <c r="I279" i="17"/>
  <c r="C280" i="17" s="1"/>
  <c r="F279" i="17"/>
  <c r="G279" i="17" s="1"/>
  <c r="J272" i="16"/>
  <c r="F272" i="16"/>
  <c r="G272" i="16" s="1"/>
  <c r="I272" i="16"/>
  <c r="C273" i="16" s="1"/>
  <c r="E282" i="18" l="1"/>
  <c r="H282" i="18"/>
  <c r="H280" i="17"/>
  <c r="E280" i="17"/>
  <c r="H273" i="16"/>
  <c r="E273" i="16"/>
  <c r="I282" i="18" l="1"/>
  <c r="C283" i="18" s="1"/>
  <c r="F282" i="18"/>
  <c r="G282" i="18" s="1"/>
  <c r="J282" i="18"/>
  <c r="J280" i="17"/>
  <c r="F280" i="17"/>
  <c r="G280" i="17" s="1"/>
  <c r="I280" i="17"/>
  <c r="C281" i="17" s="1"/>
  <c r="J273" i="16"/>
  <c r="F273" i="16"/>
  <c r="G273" i="16" s="1"/>
  <c r="I273" i="16"/>
  <c r="C274" i="16" s="1"/>
  <c r="E283" i="18" l="1"/>
  <c r="H283" i="18"/>
  <c r="H281" i="17"/>
  <c r="E281" i="17"/>
  <c r="E274" i="16"/>
  <c r="H274" i="16"/>
  <c r="I283" i="18" l="1"/>
  <c r="C284" i="18" s="1"/>
  <c r="F283" i="18"/>
  <c r="G283" i="18" s="1"/>
  <c r="J283" i="18"/>
  <c r="J281" i="17"/>
  <c r="I281" i="17"/>
  <c r="C282" i="17" s="1"/>
  <c r="F281" i="17"/>
  <c r="G281" i="17" s="1"/>
  <c r="I274" i="16"/>
  <c r="C275" i="16" s="1"/>
  <c r="F274" i="16"/>
  <c r="G274" i="16" s="1"/>
  <c r="J274" i="16"/>
  <c r="H284" i="18" l="1"/>
  <c r="E284" i="18"/>
  <c r="H282" i="17"/>
  <c r="E282" i="17"/>
  <c r="H275" i="16"/>
  <c r="E275" i="16"/>
  <c r="J284" i="18" l="1"/>
  <c r="F284" i="18"/>
  <c r="G284" i="18" s="1"/>
  <c r="I284" i="18"/>
  <c r="C285" i="18" s="1"/>
  <c r="J282" i="17"/>
  <c r="I282" i="17"/>
  <c r="C283" i="17" s="1"/>
  <c r="F282" i="17"/>
  <c r="G282" i="17" s="1"/>
  <c r="J275" i="16"/>
  <c r="F275" i="16"/>
  <c r="G275" i="16" s="1"/>
  <c r="I275" i="16"/>
  <c r="C276" i="16" s="1"/>
  <c r="E285" i="18" l="1"/>
  <c r="H285" i="18"/>
  <c r="H283" i="17"/>
  <c r="E283" i="17"/>
  <c r="E276" i="16"/>
  <c r="H276" i="16"/>
  <c r="I285" i="18" l="1"/>
  <c r="C286" i="18" s="1"/>
  <c r="F285" i="18"/>
  <c r="G285" i="18" s="1"/>
  <c r="J285" i="18"/>
  <c r="J283" i="17"/>
  <c r="I283" i="17"/>
  <c r="C284" i="17" s="1"/>
  <c r="F283" i="17"/>
  <c r="G283" i="17" s="1"/>
  <c r="F276" i="16"/>
  <c r="G276" i="16" s="1"/>
  <c r="I276" i="16"/>
  <c r="C277" i="16" s="1"/>
  <c r="J276" i="16"/>
  <c r="E286" i="18" l="1"/>
  <c r="H286" i="18"/>
  <c r="E284" i="17"/>
  <c r="H284" i="17"/>
  <c r="E277" i="16"/>
  <c r="H277" i="16"/>
  <c r="I286" i="18" l="1"/>
  <c r="C287" i="18" s="1"/>
  <c r="F286" i="18"/>
  <c r="G286" i="18" s="1"/>
  <c r="J286" i="18"/>
  <c r="I284" i="17"/>
  <c r="C285" i="17" s="1"/>
  <c r="F284" i="17"/>
  <c r="G284" i="17" s="1"/>
  <c r="J284" i="17"/>
  <c r="F277" i="16"/>
  <c r="G277" i="16" s="1"/>
  <c r="I277" i="16"/>
  <c r="C278" i="16" s="1"/>
  <c r="J277" i="16"/>
  <c r="E287" i="18" l="1"/>
  <c r="H287" i="18"/>
  <c r="H285" i="17"/>
  <c r="E285" i="17"/>
  <c r="E278" i="16"/>
  <c r="H278" i="16"/>
  <c r="I287" i="18" l="1"/>
  <c r="C288" i="18" s="1"/>
  <c r="F287" i="18"/>
  <c r="G287" i="18" s="1"/>
  <c r="J287" i="18"/>
  <c r="J285" i="17"/>
  <c r="F285" i="17"/>
  <c r="G285" i="17" s="1"/>
  <c r="I285" i="17"/>
  <c r="C286" i="17" s="1"/>
  <c r="I278" i="16"/>
  <c r="C279" i="16" s="1"/>
  <c r="F278" i="16"/>
  <c r="G278" i="16" s="1"/>
  <c r="J278" i="16"/>
  <c r="H288" i="18" l="1"/>
  <c r="E288" i="18"/>
  <c r="E286" i="17"/>
  <c r="H286" i="17"/>
  <c r="H279" i="16"/>
  <c r="E279" i="16"/>
  <c r="J288" i="18" l="1"/>
  <c r="F288" i="18"/>
  <c r="G288" i="18" s="1"/>
  <c r="I288" i="18"/>
  <c r="C289" i="18" s="1"/>
  <c r="F286" i="17"/>
  <c r="G286" i="17" s="1"/>
  <c r="I286" i="17"/>
  <c r="C287" i="17" s="1"/>
  <c r="J286" i="17"/>
  <c r="J279" i="16"/>
  <c r="I279" i="16"/>
  <c r="C280" i="16" s="1"/>
  <c r="F279" i="16"/>
  <c r="G279" i="16" s="1"/>
  <c r="H289" i="18" l="1"/>
  <c r="E289" i="18"/>
  <c r="H287" i="17"/>
  <c r="E287" i="17"/>
  <c r="H280" i="16"/>
  <c r="E280" i="16"/>
  <c r="J289" i="18" l="1"/>
  <c r="I289" i="18"/>
  <c r="C290" i="18" s="1"/>
  <c r="F289" i="18"/>
  <c r="G289" i="18" s="1"/>
  <c r="J287" i="17"/>
  <c r="I287" i="17"/>
  <c r="C288" i="17" s="1"/>
  <c r="F287" i="17"/>
  <c r="G287" i="17" s="1"/>
  <c r="J280" i="16"/>
  <c r="F280" i="16"/>
  <c r="G280" i="16" s="1"/>
  <c r="I280" i="16"/>
  <c r="C281" i="16" s="1"/>
  <c r="E290" i="18" l="1"/>
  <c r="H290" i="18"/>
  <c r="H288" i="17"/>
  <c r="E288" i="17"/>
  <c r="H281" i="16"/>
  <c r="E281" i="16"/>
  <c r="F290" i="18" l="1"/>
  <c r="G290" i="18" s="1"/>
  <c r="I290" i="18"/>
  <c r="C291" i="18" s="1"/>
  <c r="J290" i="18"/>
  <c r="J288" i="17"/>
  <c r="F288" i="17"/>
  <c r="G288" i="17" s="1"/>
  <c r="I288" i="17"/>
  <c r="C289" i="17" s="1"/>
  <c r="J281" i="16"/>
  <c r="F281" i="16"/>
  <c r="G281" i="16" s="1"/>
  <c r="I281" i="16"/>
  <c r="C282" i="16" s="1"/>
  <c r="E291" i="18" l="1"/>
  <c r="H291" i="18"/>
  <c r="E289" i="17"/>
  <c r="H289" i="17"/>
  <c r="E282" i="16"/>
  <c r="H282" i="16"/>
  <c r="F291" i="18" l="1"/>
  <c r="G291" i="18" s="1"/>
  <c r="I291" i="18"/>
  <c r="C292" i="18" s="1"/>
  <c r="J291" i="18"/>
  <c r="I289" i="17"/>
  <c r="C290" i="17" s="1"/>
  <c r="F289" i="17"/>
  <c r="G289" i="17" s="1"/>
  <c r="J289" i="17"/>
  <c r="I282" i="16"/>
  <c r="C283" i="16" s="1"/>
  <c r="F282" i="16"/>
  <c r="G282" i="16" s="1"/>
  <c r="J282" i="16"/>
  <c r="E292" i="18" l="1"/>
  <c r="H292" i="18"/>
  <c r="E290" i="17"/>
  <c r="H290" i="17"/>
  <c r="E283" i="16"/>
  <c r="H283" i="16"/>
  <c r="I292" i="18" l="1"/>
  <c r="C293" i="18" s="1"/>
  <c r="F292" i="18"/>
  <c r="G292" i="18" s="1"/>
  <c r="J292" i="18"/>
  <c r="F290" i="17"/>
  <c r="G290" i="17" s="1"/>
  <c r="I290" i="17"/>
  <c r="C291" i="17" s="1"/>
  <c r="J290" i="17"/>
  <c r="F283" i="16"/>
  <c r="G283" i="16" s="1"/>
  <c r="I283" i="16"/>
  <c r="C284" i="16" s="1"/>
  <c r="J283" i="16"/>
  <c r="E293" i="18" l="1"/>
  <c r="H293" i="18"/>
  <c r="E291" i="17"/>
  <c r="H291" i="17"/>
  <c r="E284" i="16"/>
  <c r="H284" i="16"/>
  <c r="I293" i="18" l="1"/>
  <c r="C294" i="18" s="1"/>
  <c r="F293" i="18"/>
  <c r="G293" i="18" s="1"/>
  <c r="J293" i="18"/>
  <c r="F291" i="17"/>
  <c r="G291" i="17" s="1"/>
  <c r="I291" i="17"/>
  <c r="C292" i="17" s="1"/>
  <c r="J291" i="17"/>
  <c r="F284" i="16"/>
  <c r="G284" i="16" s="1"/>
  <c r="I284" i="16"/>
  <c r="C285" i="16" s="1"/>
  <c r="J284" i="16"/>
  <c r="E294" i="18" l="1"/>
  <c r="H294" i="18"/>
  <c r="H292" i="17"/>
  <c r="E292" i="17"/>
  <c r="E285" i="16"/>
  <c r="H285" i="16"/>
  <c r="I294" i="18" l="1"/>
  <c r="C295" i="18" s="1"/>
  <c r="F294" i="18"/>
  <c r="G294" i="18" s="1"/>
  <c r="J294" i="18"/>
  <c r="J292" i="17"/>
  <c r="I292" i="17"/>
  <c r="C293" i="17" s="1"/>
  <c r="F292" i="17"/>
  <c r="G292" i="17" s="1"/>
  <c r="I285" i="16"/>
  <c r="C286" i="16" s="1"/>
  <c r="F285" i="16"/>
  <c r="G285" i="16" s="1"/>
  <c r="J285" i="16"/>
  <c r="E295" i="18" l="1"/>
  <c r="H295" i="18"/>
  <c r="H293" i="17"/>
  <c r="E293" i="17"/>
  <c r="E286" i="16"/>
  <c r="H286" i="16"/>
  <c r="F295" i="18" l="1"/>
  <c r="G295" i="18" s="1"/>
  <c r="I295" i="18"/>
  <c r="C296" i="18" s="1"/>
  <c r="J295" i="18"/>
  <c r="J293" i="17"/>
  <c r="I293" i="17"/>
  <c r="C294" i="17" s="1"/>
  <c r="F293" i="17"/>
  <c r="G293" i="17" s="1"/>
  <c r="F286" i="16"/>
  <c r="G286" i="16" s="1"/>
  <c r="I286" i="16"/>
  <c r="C287" i="16" s="1"/>
  <c r="J286" i="16"/>
  <c r="E296" i="18" l="1"/>
  <c r="H296" i="18"/>
  <c r="E294" i="17"/>
  <c r="H294" i="17"/>
  <c r="E287" i="16"/>
  <c r="H287" i="16"/>
  <c r="I296" i="18" l="1"/>
  <c r="C297" i="18" s="1"/>
  <c r="F296" i="18"/>
  <c r="G296" i="18" s="1"/>
  <c r="J296" i="18"/>
  <c r="I294" i="17"/>
  <c r="C295" i="17" s="1"/>
  <c r="F294" i="17"/>
  <c r="G294" i="17" s="1"/>
  <c r="J294" i="17"/>
  <c r="F287" i="16"/>
  <c r="G287" i="16" s="1"/>
  <c r="I287" i="16"/>
  <c r="C288" i="16" s="1"/>
  <c r="J287" i="16"/>
  <c r="E297" i="18" l="1"/>
  <c r="H297" i="18"/>
  <c r="H295" i="17"/>
  <c r="E295" i="17"/>
  <c r="E288" i="16"/>
  <c r="H288" i="16"/>
  <c r="I297" i="18" l="1"/>
  <c r="C298" i="18" s="1"/>
  <c r="F297" i="18"/>
  <c r="G297" i="18" s="1"/>
  <c r="J297" i="18"/>
  <c r="J295" i="17"/>
  <c r="I295" i="17"/>
  <c r="C296" i="17" s="1"/>
  <c r="F295" i="17"/>
  <c r="G295" i="17" s="1"/>
  <c r="F288" i="16"/>
  <c r="G288" i="16" s="1"/>
  <c r="I288" i="16"/>
  <c r="C289" i="16" s="1"/>
  <c r="J288" i="16"/>
  <c r="E298" i="18" l="1"/>
  <c r="H298" i="18"/>
  <c r="H296" i="17"/>
  <c r="E296" i="17"/>
  <c r="E289" i="16"/>
  <c r="H289" i="16"/>
  <c r="F298" i="18" l="1"/>
  <c r="G298" i="18" s="1"/>
  <c r="I298" i="18"/>
  <c r="C299" i="18" s="1"/>
  <c r="J298" i="18"/>
  <c r="J296" i="17"/>
  <c r="F296" i="17"/>
  <c r="G296" i="17" s="1"/>
  <c r="I296" i="17"/>
  <c r="C297" i="17" s="1"/>
  <c r="F289" i="16"/>
  <c r="G289" i="16" s="1"/>
  <c r="I289" i="16"/>
  <c r="C290" i="16" s="1"/>
  <c r="J289" i="16"/>
  <c r="E299" i="18" l="1"/>
  <c r="H299" i="18"/>
  <c r="E297" i="17"/>
  <c r="H297" i="17"/>
  <c r="E290" i="16"/>
  <c r="H290" i="16"/>
  <c r="F299" i="18" l="1"/>
  <c r="G299" i="18" s="1"/>
  <c r="I299" i="18"/>
  <c r="C300" i="18" s="1"/>
  <c r="J299" i="18"/>
  <c r="F297" i="17"/>
  <c r="G297" i="17" s="1"/>
  <c r="I297" i="17"/>
  <c r="C298" i="17" s="1"/>
  <c r="J297" i="17"/>
  <c r="I290" i="16"/>
  <c r="C291" i="16" s="1"/>
  <c r="F290" i="16"/>
  <c r="G290" i="16" s="1"/>
  <c r="J290" i="16"/>
  <c r="E300" i="18" l="1"/>
  <c r="H300" i="18"/>
  <c r="H298" i="17"/>
  <c r="E298" i="17"/>
  <c r="E291" i="16"/>
  <c r="H291" i="16"/>
  <c r="I300" i="18" l="1"/>
  <c r="C301" i="18" s="1"/>
  <c r="F300" i="18"/>
  <c r="G300" i="18" s="1"/>
  <c r="J300" i="18"/>
  <c r="J298" i="17"/>
  <c r="F298" i="17"/>
  <c r="G298" i="17" s="1"/>
  <c r="I298" i="17"/>
  <c r="C299" i="17" s="1"/>
  <c r="I291" i="16"/>
  <c r="C292" i="16" s="1"/>
  <c r="F291" i="16"/>
  <c r="G291" i="16" s="1"/>
  <c r="J291" i="16"/>
  <c r="E301" i="18" l="1"/>
  <c r="H301" i="18"/>
  <c r="E299" i="17"/>
  <c r="H299" i="17"/>
  <c r="H292" i="16"/>
  <c r="E292" i="16"/>
  <c r="F301" i="18" l="1"/>
  <c r="G301" i="18" s="1"/>
  <c r="I301" i="18"/>
  <c r="C302" i="18" s="1"/>
  <c r="J301" i="18"/>
  <c r="F299" i="17"/>
  <c r="G299" i="17" s="1"/>
  <c r="I299" i="17"/>
  <c r="C300" i="17" s="1"/>
  <c r="J299" i="17"/>
  <c r="J292" i="16"/>
  <c r="F292" i="16"/>
  <c r="G292" i="16" s="1"/>
  <c r="I292" i="16"/>
  <c r="C293" i="16" s="1"/>
  <c r="E302" i="18" l="1"/>
  <c r="H302" i="18"/>
  <c r="H300" i="17"/>
  <c r="E300" i="17"/>
  <c r="E293" i="16"/>
  <c r="H293" i="16"/>
  <c r="F302" i="18" l="1"/>
  <c r="G302" i="18" s="1"/>
  <c r="I302" i="18"/>
  <c r="C303" i="18" s="1"/>
  <c r="J302" i="18"/>
  <c r="J300" i="17"/>
  <c r="F300" i="17"/>
  <c r="G300" i="17" s="1"/>
  <c r="I300" i="17"/>
  <c r="C301" i="17" s="1"/>
  <c r="F293" i="16"/>
  <c r="G293" i="16" s="1"/>
  <c r="I293" i="16"/>
  <c r="C294" i="16" s="1"/>
  <c r="J293" i="16"/>
  <c r="E303" i="18" l="1"/>
  <c r="H303" i="18"/>
  <c r="H301" i="17"/>
  <c r="E301" i="17"/>
  <c r="H294" i="16"/>
  <c r="E294" i="16"/>
  <c r="F303" i="18" l="1"/>
  <c r="G303" i="18" s="1"/>
  <c r="I303" i="18"/>
  <c r="C304" i="18" s="1"/>
  <c r="J303" i="18"/>
  <c r="J301" i="17"/>
  <c r="F301" i="17"/>
  <c r="G301" i="17" s="1"/>
  <c r="I301" i="17"/>
  <c r="C302" i="17" s="1"/>
  <c r="J294" i="16"/>
  <c r="F294" i="16"/>
  <c r="G294" i="16" s="1"/>
  <c r="I294" i="16"/>
  <c r="C295" i="16" s="1"/>
  <c r="H304" i="18" l="1"/>
  <c r="E304" i="18"/>
  <c r="E302" i="17"/>
  <c r="H302" i="17"/>
  <c r="E295" i="16"/>
  <c r="H295" i="16"/>
  <c r="J304" i="18" l="1"/>
  <c r="I304" i="18"/>
  <c r="C305" i="18" s="1"/>
  <c r="F304" i="18"/>
  <c r="G304" i="18" s="1"/>
  <c r="F302" i="17"/>
  <c r="G302" i="17" s="1"/>
  <c r="I302" i="17"/>
  <c r="C303" i="17" s="1"/>
  <c r="J302" i="17"/>
  <c r="F295" i="16"/>
  <c r="G295" i="16" s="1"/>
  <c r="I295" i="16"/>
  <c r="C296" i="16" s="1"/>
  <c r="J295" i="16"/>
  <c r="H305" i="18" l="1"/>
  <c r="E305" i="18"/>
  <c r="H303" i="17"/>
  <c r="E303" i="17"/>
  <c r="E296" i="16"/>
  <c r="H296" i="16"/>
  <c r="J305" i="18" l="1"/>
  <c r="I305" i="18"/>
  <c r="C306" i="18" s="1"/>
  <c r="F305" i="18"/>
  <c r="G305" i="18" s="1"/>
  <c r="J303" i="17"/>
  <c r="I303" i="17"/>
  <c r="C304" i="17" s="1"/>
  <c r="F303" i="17"/>
  <c r="G303" i="17" s="1"/>
  <c r="I296" i="16"/>
  <c r="C297" i="16" s="1"/>
  <c r="F296" i="16"/>
  <c r="G296" i="16" s="1"/>
  <c r="J296" i="16"/>
  <c r="H306" i="18" l="1"/>
  <c r="E306" i="18"/>
  <c r="E304" i="17"/>
  <c r="H304" i="17"/>
  <c r="E297" i="16"/>
  <c r="H297" i="16"/>
  <c r="J306" i="18" l="1"/>
  <c r="I306" i="18"/>
  <c r="C307" i="18" s="1"/>
  <c r="F306" i="18"/>
  <c r="G306" i="18" s="1"/>
  <c r="F304" i="17"/>
  <c r="G304" i="17" s="1"/>
  <c r="I304" i="17"/>
  <c r="C305" i="17" s="1"/>
  <c r="J304" i="17"/>
  <c r="I297" i="16"/>
  <c r="C298" i="16" s="1"/>
  <c r="F297" i="16"/>
  <c r="G297" i="16" s="1"/>
  <c r="J297" i="16"/>
  <c r="E307" i="18" l="1"/>
  <c r="H307" i="18"/>
  <c r="E305" i="17"/>
  <c r="H305" i="17"/>
  <c r="E298" i="16"/>
  <c r="H298" i="16"/>
  <c r="F307" i="18" l="1"/>
  <c r="G307" i="18" s="1"/>
  <c r="I307" i="18"/>
  <c r="C308" i="18" s="1"/>
  <c r="J307" i="18"/>
  <c r="I305" i="17"/>
  <c r="C306" i="17" s="1"/>
  <c r="F305" i="17"/>
  <c r="G305" i="17" s="1"/>
  <c r="J305" i="17"/>
  <c r="F298" i="16"/>
  <c r="G298" i="16" s="1"/>
  <c r="I298" i="16"/>
  <c r="C299" i="16" s="1"/>
  <c r="J298" i="16"/>
  <c r="E308" i="18" l="1"/>
  <c r="H308" i="18"/>
  <c r="E306" i="17"/>
  <c r="H306" i="17"/>
  <c r="H299" i="16"/>
  <c r="E299" i="16"/>
  <c r="F308" i="18" l="1"/>
  <c r="G308" i="18" s="1"/>
  <c r="I308" i="18"/>
  <c r="C309" i="18" s="1"/>
  <c r="J308" i="18"/>
  <c r="I306" i="17"/>
  <c r="C307" i="17" s="1"/>
  <c r="F306" i="17"/>
  <c r="G306" i="17" s="1"/>
  <c r="J306" i="17"/>
  <c r="J299" i="16"/>
  <c r="F299" i="16"/>
  <c r="G299" i="16" s="1"/>
  <c r="I299" i="16"/>
  <c r="C300" i="16" s="1"/>
  <c r="E309" i="18" l="1"/>
  <c r="H309" i="18"/>
  <c r="E307" i="17"/>
  <c r="H307" i="17"/>
  <c r="H300" i="16"/>
  <c r="E300" i="16"/>
  <c r="F309" i="18" l="1"/>
  <c r="G309" i="18" s="1"/>
  <c r="I309" i="18"/>
  <c r="C310" i="18" s="1"/>
  <c r="J309" i="18"/>
  <c r="F307" i="17"/>
  <c r="G307" i="17" s="1"/>
  <c r="I307" i="17"/>
  <c r="C308" i="17" s="1"/>
  <c r="J307" i="17"/>
  <c r="J300" i="16"/>
  <c r="F300" i="16"/>
  <c r="G300" i="16" s="1"/>
  <c r="I300" i="16"/>
  <c r="C301" i="16" s="1"/>
  <c r="H310" i="18" l="1"/>
  <c r="E310" i="18"/>
  <c r="E308" i="17"/>
  <c r="H308" i="17"/>
  <c r="E301" i="16"/>
  <c r="H301" i="16"/>
  <c r="J310" i="18" l="1"/>
  <c r="F310" i="18"/>
  <c r="G310" i="18" s="1"/>
  <c r="I310" i="18"/>
  <c r="C311" i="18" s="1"/>
  <c r="I308" i="17"/>
  <c r="C309" i="17" s="1"/>
  <c r="F308" i="17"/>
  <c r="G308" i="17" s="1"/>
  <c r="J308" i="17"/>
  <c r="F301" i="16"/>
  <c r="G301" i="16" s="1"/>
  <c r="I301" i="16"/>
  <c r="C302" i="16" s="1"/>
  <c r="J301" i="16"/>
  <c r="E311" i="18" l="1"/>
  <c r="H311" i="18"/>
  <c r="E309" i="17"/>
  <c r="H309" i="17"/>
  <c r="E302" i="16"/>
  <c r="H302" i="16"/>
  <c r="I311" i="18" l="1"/>
  <c r="C312" i="18" s="1"/>
  <c r="F311" i="18"/>
  <c r="G311" i="18" s="1"/>
  <c r="J311" i="18"/>
  <c r="F309" i="17"/>
  <c r="G309" i="17" s="1"/>
  <c r="I309" i="17"/>
  <c r="C310" i="17" s="1"/>
  <c r="J309" i="17"/>
  <c r="I302" i="16"/>
  <c r="C303" i="16" s="1"/>
  <c r="F302" i="16"/>
  <c r="G302" i="16" s="1"/>
  <c r="J302" i="16"/>
  <c r="E312" i="18" l="1"/>
  <c r="H312" i="18"/>
  <c r="E310" i="17"/>
  <c r="H310" i="17"/>
  <c r="H303" i="16"/>
  <c r="E303" i="16"/>
  <c r="I312" i="18" l="1"/>
  <c r="C313" i="18" s="1"/>
  <c r="F312" i="18"/>
  <c r="G312" i="18" s="1"/>
  <c r="J312" i="18"/>
  <c r="I310" i="17"/>
  <c r="C311" i="17" s="1"/>
  <c r="F310" i="17"/>
  <c r="G310" i="17" s="1"/>
  <c r="J310" i="17"/>
  <c r="J303" i="16"/>
  <c r="I303" i="16"/>
  <c r="C304" i="16" s="1"/>
  <c r="F303" i="16"/>
  <c r="G303" i="16" s="1"/>
  <c r="E313" i="18" l="1"/>
  <c r="H313" i="18"/>
  <c r="E311" i="17"/>
  <c r="H311" i="17"/>
  <c r="E304" i="16"/>
  <c r="H304" i="16"/>
  <c r="I313" i="18" l="1"/>
  <c r="C314" i="18" s="1"/>
  <c r="F313" i="18"/>
  <c r="G313" i="18" s="1"/>
  <c r="J313" i="18"/>
  <c r="F311" i="17"/>
  <c r="G311" i="17" s="1"/>
  <c r="I311" i="17"/>
  <c r="C312" i="17" s="1"/>
  <c r="J311" i="17"/>
  <c r="F304" i="16"/>
  <c r="G304" i="16" s="1"/>
  <c r="I304" i="16"/>
  <c r="C305" i="16" s="1"/>
  <c r="J304" i="16"/>
  <c r="E314" i="18" l="1"/>
  <c r="H314" i="18"/>
  <c r="E312" i="17"/>
  <c r="H312" i="17"/>
  <c r="E305" i="16"/>
  <c r="H305" i="16"/>
  <c r="F314" i="18" l="1"/>
  <c r="G314" i="18" s="1"/>
  <c r="I314" i="18"/>
  <c r="C315" i="18" s="1"/>
  <c r="J314" i="18"/>
  <c r="F312" i="17"/>
  <c r="G312" i="17" s="1"/>
  <c r="I312" i="17"/>
  <c r="C313" i="17" s="1"/>
  <c r="J312" i="17"/>
  <c r="F305" i="16"/>
  <c r="G305" i="16" s="1"/>
  <c r="I305" i="16"/>
  <c r="C306" i="16" s="1"/>
  <c r="J305" i="16"/>
  <c r="E315" i="18" l="1"/>
  <c r="H315" i="18"/>
  <c r="E313" i="17"/>
  <c r="H313" i="17"/>
  <c r="H306" i="16"/>
  <c r="E306" i="16"/>
  <c r="I315" i="18" l="1"/>
  <c r="C316" i="18" s="1"/>
  <c r="F315" i="18"/>
  <c r="G315" i="18" s="1"/>
  <c r="J315" i="18"/>
  <c r="I313" i="17"/>
  <c r="C314" i="17" s="1"/>
  <c r="F313" i="17"/>
  <c r="G313" i="17" s="1"/>
  <c r="J313" i="17"/>
  <c r="J306" i="16"/>
  <c r="F306" i="16"/>
  <c r="G306" i="16" s="1"/>
  <c r="I306" i="16"/>
  <c r="C307" i="16" s="1"/>
  <c r="E316" i="18" l="1"/>
  <c r="H316" i="18"/>
  <c r="E314" i="17"/>
  <c r="H314" i="17"/>
  <c r="E307" i="16"/>
  <c r="H307" i="16"/>
  <c r="I316" i="18" l="1"/>
  <c r="C317" i="18" s="1"/>
  <c r="F316" i="18"/>
  <c r="G316" i="18" s="1"/>
  <c r="J316" i="18"/>
  <c r="I314" i="17"/>
  <c r="C315" i="17" s="1"/>
  <c r="F314" i="17"/>
  <c r="G314" i="17" s="1"/>
  <c r="J314" i="17"/>
  <c r="I307" i="16"/>
  <c r="C308" i="16" s="1"/>
  <c r="F307" i="16"/>
  <c r="G307" i="16" s="1"/>
  <c r="J307" i="16"/>
  <c r="E317" i="18" l="1"/>
  <c r="H317" i="18"/>
  <c r="E315" i="17"/>
  <c r="H315" i="17"/>
  <c r="E308" i="16"/>
  <c r="H308" i="16"/>
  <c r="F317" i="18" l="1"/>
  <c r="G317" i="18" s="1"/>
  <c r="I317" i="18"/>
  <c r="C318" i="18" s="1"/>
  <c r="J317" i="18"/>
  <c r="I315" i="17"/>
  <c r="C316" i="17" s="1"/>
  <c r="F315" i="17"/>
  <c r="G315" i="17" s="1"/>
  <c r="J315" i="17"/>
  <c r="F308" i="16"/>
  <c r="G308" i="16" s="1"/>
  <c r="I308" i="16"/>
  <c r="C309" i="16" s="1"/>
  <c r="J308" i="16"/>
  <c r="E318" i="18" l="1"/>
  <c r="H318" i="18"/>
  <c r="H316" i="17"/>
  <c r="E316" i="17"/>
  <c r="E309" i="16"/>
  <c r="H309" i="16"/>
  <c r="F318" i="18" l="1"/>
  <c r="G318" i="18" s="1"/>
  <c r="I318" i="18"/>
  <c r="C319" i="18" s="1"/>
  <c r="J318" i="18"/>
  <c r="J316" i="17"/>
  <c r="F316" i="17"/>
  <c r="G316" i="17" s="1"/>
  <c r="I316" i="17"/>
  <c r="C317" i="17" s="1"/>
  <c r="I309" i="16"/>
  <c r="C310" i="16" s="1"/>
  <c r="F309" i="16"/>
  <c r="G309" i="16" s="1"/>
  <c r="J309" i="16"/>
  <c r="E319" i="18" l="1"/>
  <c r="H319" i="18"/>
  <c r="H317" i="17"/>
  <c r="E317" i="17"/>
  <c r="H310" i="16"/>
  <c r="E310" i="16"/>
  <c r="F319" i="18" l="1"/>
  <c r="G319" i="18" s="1"/>
  <c r="I319" i="18"/>
  <c r="C320" i="18" s="1"/>
  <c r="J319" i="18"/>
  <c r="J317" i="17"/>
  <c r="F317" i="17"/>
  <c r="G317" i="17" s="1"/>
  <c r="I317" i="17"/>
  <c r="C318" i="17" s="1"/>
  <c r="J310" i="16"/>
  <c r="I310" i="16"/>
  <c r="C311" i="16" s="1"/>
  <c r="F310" i="16"/>
  <c r="G310" i="16" s="1"/>
  <c r="E320" i="18" l="1"/>
  <c r="H320" i="18"/>
  <c r="E318" i="17"/>
  <c r="H318" i="17"/>
  <c r="E311" i="16"/>
  <c r="H311" i="16"/>
  <c r="F320" i="18" l="1"/>
  <c r="G320" i="18" s="1"/>
  <c r="I320" i="18"/>
  <c r="C321" i="18" s="1"/>
  <c r="J320" i="18"/>
  <c r="F318" i="17"/>
  <c r="G318" i="17" s="1"/>
  <c r="I318" i="17"/>
  <c r="C319" i="17" s="1"/>
  <c r="J318" i="17"/>
  <c r="F311" i="16"/>
  <c r="G311" i="16" s="1"/>
  <c r="I311" i="16"/>
  <c r="C312" i="16" s="1"/>
  <c r="J311" i="16"/>
  <c r="E321" i="18" l="1"/>
  <c r="H321" i="18"/>
  <c r="E319" i="17"/>
  <c r="H319" i="17"/>
  <c r="E312" i="16"/>
  <c r="H312" i="16"/>
  <c r="I321" i="18" l="1"/>
  <c r="C322" i="18" s="1"/>
  <c r="F321" i="18"/>
  <c r="G321" i="18" s="1"/>
  <c r="J321" i="18"/>
  <c r="F319" i="17"/>
  <c r="G319" i="17" s="1"/>
  <c r="I319" i="17"/>
  <c r="C320" i="17" s="1"/>
  <c r="J319" i="17"/>
  <c r="F312" i="16"/>
  <c r="G312" i="16" s="1"/>
  <c r="I312" i="16"/>
  <c r="C313" i="16" s="1"/>
  <c r="J312" i="16"/>
  <c r="E322" i="18" l="1"/>
  <c r="H322" i="18"/>
  <c r="H320" i="17"/>
  <c r="E320" i="17"/>
  <c r="H313" i="16"/>
  <c r="E313" i="16"/>
  <c r="F322" i="18" l="1"/>
  <c r="G322" i="18" s="1"/>
  <c r="I322" i="18"/>
  <c r="C323" i="18" s="1"/>
  <c r="J322" i="18"/>
  <c r="J320" i="17"/>
  <c r="F320" i="17"/>
  <c r="G320" i="17" s="1"/>
  <c r="I320" i="17"/>
  <c r="C321" i="17" s="1"/>
  <c r="J313" i="16"/>
  <c r="I313" i="16"/>
  <c r="C314" i="16" s="1"/>
  <c r="F313" i="16"/>
  <c r="G313" i="16" s="1"/>
  <c r="E323" i="18" l="1"/>
  <c r="H323" i="18"/>
  <c r="E321" i="17"/>
  <c r="H321" i="17"/>
  <c r="H314" i="16"/>
  <c r="E314" i="16"/>
  <c r="I323" i="18" l="1"/>
  <c r="C324" i="18" s="1"/>
  <c r="F323" i="18"/>
  <c r="G323" i="18" s="1"/>
  <c r="J323" i="18"/>
  <c r="F321" i="17"/>
  <c r="G321" i="17" s="1"/>
  <c r="I321" i="17"/>
  <c r="C322" i="17" s="1"/>
  <c r="J321" i="17"/>
  <c r="J314" i="16"/>
  <c r="I314" i="16"/>
  <c r="C315" i="16" s="1"/>
  <c r="F314" i="16"/>
  <c r="G314" i="16" s="1"/>
  <c r="E324" i="18" l="1"/>
  <c r="H324" i="18"/>
  <c r="H322" i="17"/>
  <c r="E322" i="17"/>
  <c r="H315" i="16"/>
  <c r="E315" i="16"/>
  <c r="F324" i="18" l="1"/>
  <c r="G324" i="18" s="1"/>
  <c r="I324" i="18"/>
  <c r="C325" i="18" s="1"/>
  <c r="J324" i="18"/>
  <c r="J322" i="17"/>
  <c r="F322" i="17"/>
  <c r="G322" i="17" s="1"/>
  <c r="I322" i="17"/>
  <c r="C323" i="17" s="1"/>
  <c r="J315" i="16"/>
  <c r="F315" i="16"/>
  <c r="G315" i="16" s="1"/>
  <c r="I315" i="16"/>
  <c r="C316" i="16" s="1"/>
  <c r="E325" i="18" l="1"/>
  <c r="H325" i="18"/>
  <c r="E323" i="17"/>
  <c r="H323" i="17"/>
  <c r="E316" i="16"/>
  <c r="H316" i="16"/>
  <c r="F325" i="18" l="1"/>
  <c r="G325" i="18" s="1"/>
  <c r="I325" i="18"/>
  <c r="C326" i="18" s="1"/>
  <c r="J325" i="18"/>
  <c r="I323" i="17"/>
  <c r="C324" i="17" s="1"/>
  <c r="F323" i="17"/>
  <c r="G323" i="17" s="1"/>
  <c r="J323" i="17"/>
  <c r="F316" i="16"/>
  <c r="G316" i="16" s="1"/>
  <c r="I316" i="16"/>
  <c r="C317" i="16" s="1"/>
  <c r="J316" i="16"/>
  <c r="E326" i="18" l="1"/>
  <c r="H326" i="18"/>
  <c r="E324" i="17"/>
  <c r="H324" i="17"/>
  <c r="E317" i="16"/>
  <c r="H317" i="16"/>
  <c r="F326" i="18" l="1"/>
  <c r="G326" i="18" s="1"/>
  <c r="I326" i="18"/>
  <c r="C327" i="18" s="1"/>
  <c r="J326" i="18"/>
  <c r="F324" i="17"/>
  <c r="G324" i="17" s="1"/>
  <c r="I324" i="17"/>
  <c r="C325" i="17" s="1"/>
  <c r="J324" i="17"/>
  <c r="F317" i="16"/>
  <c r="G317" i="16" s="1"/>
  <c r="I317" i="16"/>
  <c r="C318" i="16" s="1"/>
  <c r="J317" i="16"/>
  <c r="E327" i="18" l="1"/>
  <c r="H327" i="18"/>
  <c r="E325" i="17"/>
  <c r="H325" i="17"/>
  <c r="H318" i="16"/>
  <c r="E318" i="16"/>
  <c r="F327" i="18" l="1"/>
  <c r="G327" i="18" s="1"/>
  <c r="I327" i="18"/>
  <c r="C328" i="18" s="1"/>
  <c r="J327" i="18"/>
  <c r="F325" i="17"/>
  <c r="G325" i="17" s="1"/>
  <c r="I325" i="17"/>
  <c r="C326" i="17" s="1"/>
  <c r="J325" i="17"/>
  <c r="J318" i="16"/>
  <c r="F318" i="16"/>
  <c r="G318" i="16" s="1"/>
  <c r="I318" i="16"/>
  <c r="C319" i="16" s="1"/>
  <c r="E328" i="18" l="1"/>
  <c r="H328" i="18"/>
  <c r="E326" i="17"/>
  <c r="H326" i="17"/>
  <c r="E319" i="16"/>
  <c r="H319" i="16"/>
  <c r="F328" i="18" l="1"/>
  <c r="G328" i="18" s="1"/>
  <c r="I328" i="18"/>
  <c r="C329" i="18" s="1"/>
  <c r="J328" i="18"/>
  <c r="F326" i="17"/>
  <c r="G326" i="17" s="1"/>
  <c r="I326" i="17"/>
  <c r="C327" i="17" s="1"/>
  <c r="J326" i="17"/>
  <c r="F319" i="16"/>
  <c r="G319" i="16" s="1"/>
  <c r="I319" i="16"/>
  <c r="C320" i="16" s="1"/>
  <c r="J319" i="16"/>
  <c r="E329" i="18" l="1"/>
  <c r="H329" i="18"/>
  <c r="E327" i="17"/>
  <c r="H327" i="17"/>
  <c r="E320" i="16"/>
  <c r="H320" i="16"/>
  <c r="I329" i="18" l="1"/>
  <c r="C330" i="18" s="1"/>
  <c r="F329" i="18"/>
  <c r="G329" i="18" s="1"/>
  <c r="J329" i="18"/>
  <c r="I327" i="17"/>
  <c r="C328" i="17" s="1"/>
  <c r="F327" i="17"/>
  <c r="G327" i="17" s="1"/>
  <c r="J327" i="17"/>
  <c r="F320" i="16"/>
  <c r="G320" i="16" s="1"/>
  <c r="I320" i="16"/>
  <c r="C321" i="16" s="1"/>
  <c r="J320" i="16"/>
  <c r="E330" i="18" l="1"/>
  <c r="H330" i="18"/>
  <c r="E328" i="17"/>
  <c r="H328" i="17"/>
  <c r="E321" i="16"/>
  <c r="H321" i="16"/>
  <c r="F330" i="18" l="1"/>
  <c r="G330" i="18" s="1"/>
  <c r="I330" i="18"/>
  <c r="C331" i="18" s="1"/>
  <c r="J330" i="18"/>
  <c r="I328" i="17"/>
  <c r="C329" i="17" s="1"/>
  <c r="F328" i="17"/>
  <c r="G328" i="17" s="1"/>
  <c r="J328" i="17"/>
  <c r="I321" i="16"/>
  <c r="C322" i="16" s="1"/>
  <c r="F321" i="16"/>
  <c r="G321" i="16" s="1"/>
  <c r="J321" i="16"/>
  <c r="E331" i="18" l="1"/>
  <c r="H331" i="18"/>
  <c r="E329" i="17"/>
  <c r="H329" i="17"/>
  <c r="E322" i="16"/>
  <c r="H322" i="16"/>
  <c r="F331" i="18" l="1"/>
  <c r="G331" i="18" s="1"/>
  <c r="I331" i="18"/>
  <c r="C332" i="18" s="1"/>
  <c r="J331" i="18"/>
  <c r="I329" i="17"/>
  <c r="C330" i="17" s="1"/>
  <c r="F329" i="17"/>
  <c r="G329" i="17" s="1"/>
  <c r="J329" i="17"/>
  <c r="F322" i="16"/>
  <c r="G322" i="16" s="1"/>
  <c r="I322" i="16"/>
  <c r="C323" i="16" s="1"/>
  <c r="J322" i="16"/>
  <c r="H332" i="18" l="1"/>
  <c r="E332" i="18"/>
  <c r="E330" i="17"/>
  <c r="H330" i="17"/>
  <c r="E323" i="16"/>
  <c r="H323" i="16"/>
  <c r="J332" i="18" l="1"/>
  <c r="F332" i="18"/>
  <c r="G332" i="18" s="1"/>
  <c r="I332" i="18"/>
  <c r="C333" i="18" s="1"/>
  <c r="I330" i="17"/>
  <c r="C331" i="17" s="1"/>
  <c r="F330" i="17"/>
  <c r="G330" i="17" s="1"/>
  <c r="J330" i="17"/>
  <c r="I323" i="16"/>
  <c r="C324" i="16" s="1"/>
  <c r="F323" i="16"/>
  <c r="G323" i="16" s="1"/>
  <c r="J323" i="16"/>
  <c r="H333" i="18" l="1"/>
  <c r="E333" i="18"/>
  <c r="H331" i="17"/>
  <c r="E331" i="17"/>
  <c r="H324" i="16"/>
  <c r="E324" i="16"/>
  <c r="J333" i="18" l="1"/>
  <c r="F333" i="18"/>
  <c r="G333" i="18" s="1"/>
  <c r="I333" i="18"/>
  <c r="C334" i="18" s="1"/>
  <c r="J331" i="17"/>
  <c r="F331" i="17"/>
  <c r="G331" i="17" s="1"/>
  <c r="I331" i="17"/>
  <c r="C332" i="17" s="1"/>
  <c r="J324" i="16"/>
  <c r="I324" i="16"/>
  <c r="C325" i="16" s="1"/>
  <c r="F324" i="16"/>
  <c r="G324" i="16" s="1"/>
  <c r="E334" i="18" l="1"/>
  <c r="H334" i="18"/>
  <c r="E332" i="17"/>
  <c r="H332" i="17"/>
  <c r="E325" i="16"/>
  <c r="H325" i="16"/>
  <c r="F334" i="18" l="1"/>
  <c r="G334" i="18" s="1"/>
  <c r="I334" i="18"/>
  <c r="C335" i="18" s="1"/>
  <c r="J334" i="18"/>
  <c r="I332" i="17"/>
  <c r="C333" i="17" s="1"/>
  <c r="F332" i="17"/>
  <c r="G332" i="17" s="1"/>
  <c r="J332" i="17"/>
  <c r="F325" i="16"/>
  <c r="G325" i="16" s="1"/>
  <c r="I325" i="16"/>
  <c r="C326" i="16" s="1"/>
  <c r="J325" i="16"/>
  <c r="E335" i="18" l="1"/>
  <c r="H335" i="18"/>
  <c r="E333" i="17"/>
  <c r="H333" i="17"/>
  <c r="E326" i="16"/>
  <c r="H326" i="16"/>
  <c r="F335" i="18" l="1"/>
  <c r="G335" i="18" s="1"/>
  <c r="I335" i="18"/>
  <c r="C336" i="18" s="1"/>
  <c r="J335" i="18"/>
  <c r="F333" i="17"/>
  <c r="G333" i="17" s="1"/>
  <c r="I333" i="17"/>
  <c r="C334" i="17" s="1"/>
  <c r="J333" i="17"/>
  <c r="I326" i="16"/>
  <c r="C327" i="16" s="1"/>
  <c r="F326" i="16"/>
  <c r="G326" i="16" s="1"/>
  <c r="J326" i="16"/>
  <c r="E336" i="18" l="1"/>
  <c r="H336" i="18"/>
  <c r="E334" i="17"/>
  <c r="H334" i="17"/>
  <c r="E327" i="16"/>
  <c r="H327" i="16"/>
  <c r="F336" i="18" l="1"/>
  <c r="G336" i="18" s="1"/>
  <c r="I336" i="18"/>
  <c r="C337" i="18" s="1"/>
  <c r="J336" i="18"/>
  <c r="I334" i="17"/>
  <c r="C335" i="17" s="1"/>
  <c r="F334" i="17"/>
  <c r="G334" i="17" s="1"/>
  <c r="J334" i="17"/>
  <c r="I327" i="16"/>
  <c r="C328" i="16" s="1"/>
  <c r="F327" i="16"/>
  <c r="G327" i="16" s="1"/>
  <c r="J327" i="16"/>
  <c r="E337" i="18" l="1"/>
  <c r="H337" i="18"/>
  <c r="E335" i="17"/>
  <c r="H335" i="17"/>
  <c r="E328" i="16"/>
  <c r="H328" i="16"/>
  <c r="I337" i="18" l="1"/>
  <c r="C338" i="18" s="1"/>
  <c r="F337" i="18"/>
  <c r="G337" i="18" s="1"/>
  <c r="J337" i="18"/>
  <c r="I335" i="17"/>
  <c r="C336" i="17" s="1"/>
  <c r="F335" i="17"/>
  <c r="G335" i="17" s="1"/>
  <c r="J335" i="17"/>
  <c r="I328" i="16"/>
  <c r="C329" i="16" s="1"/>
  <c r="F328" i="16"/>
  <c r="G328" i="16" s="1"/>
  <c r="J328" i="16"/>
  <c r="E338" i="18" l="1"/>
  <c r="H338" i="18"/>
  <c r="E336" i="17"/>
  <c r="H336" i="17"/>
  <c r="E329" i="16"/>
  <c r="H329" i="16"/>
  <c r="F338" i="18" l="1"/>
  <c r="G338" i="18" s="1"/>
  <c r="I338" i="18"/>
  <c r="C339" i="18" s="1"/>
  <c r="J338" i="18"/>
  <c r="I336" i="17"/>
  <c r="C337" i="17" s="1"/>
  <c r="F336" i="17"/>
  <c r="G336" i="17" s="1"/>
  <c r="J336" i="17"/>
  <c r="I329" i="16"/>
  <c r="C330" i="16" s="1"/>
  <c r="F329" i="16"/>
  <c r="G329" i="16" s="1"/>
  <c r="J329" i="16"/>
  <c r="E339" i="18" l="1"/>
  <c r="H339" i="18"/>
  <c r="H337" i="17"/>
  <c r="E337" i="17"/>
  <c r="E330" i="16"/>
  <c r="H330" i="16"/>
  <c r="I339" i="18" l="1"/>
  <c r="C340" i="18" s="1"/>
  <c r="F339" i="18"/>
  <c r="G339" i="18" s="1"/>
  <c r="J339" i="18"/>
  <c r="J337" i="17"/>
  <c r="F337" i="17"/>
  <c r="G337" i="17" s="1"/>
  <c r="I337" i="17"/>
  <c r="C338" i="17" s="1"/>
  <c r="I330" i="16"/>
  <c r="C331" i="16" s="1"/>
  <c r="F330" i="16"/>
  <c r="G330" i="16" s="1"/>
  <c r="J330" i="16"/>
  <c r="E340" i="18" l="1"/>
  <c r="H340" i="18"/>
  <c r="E338" i="17"/>
  <c r="H338" i="17"/>
  <c r="E331" i="16"/>
  <c r="H331" i="16"/>
  <c r="F340" i="18" l="1"/>
  <c r="G340" i="18" s="1"/>
  <c r="I340" i="18"/>
  <c r="C341" i="18" s="1"/>
  <c r="J340" i="18"/>
  <c r="F338" i="17"/>
  <c r="G338" i="17" s="1"/>
  <c r="I338" i="17"/>
  <c r="C339" i="17" s="1"/>
  <c r="J338" i="17"/>
  <c r="I331" i="16"/>
  <c r="C332" i="16" s="1"/>
  <c r="F331" i="16"/>
  <c r="G331" i="16" s="1"/>
  <c r="J331" i="16"/>
  <c r="E341" i="18" l="1"/>
  <c r="H341" i="18"/>
  <c r="H339" i="17"/>
  <c r="E339" i="17"/>
  <c r="E332" i="16"/>
  <c r="H332" i="16"/>
  <c r="I341" i="18" l="1"/>
  <c r="C342" i="18" s="1"/>
  <c r="F341" i="18"/>
  <c r="G341" i="18" s="1"/>
  <c r="J341" i="18"/>
  <c r="J339" i="17"/>
  <c r="I339" i="17"/>
  <c r="C340" i="17" s="1"/>
  <c r="F339" i="17"/>
  <c r="G339" i="17" s="1"/>
  <c r="F332" i="16"/>
  <c r="G332" i="16" s="1"/>
  <c r="I332" i="16"/>
  <c r="C333" i="16" s="1"/>
  <c r="J332" i="16"/>
  <c r="E342" i="18" l="1"/>
  <c r="H342" i="18"/>
  <c r="E340" i="17"/>
  <c r="H340" i="17"/>
  <c r="E333" i="16"/>
  <c r="H333" i="16"/>
  <c r="F342" i="18" l="1"/>
  <c r="G342" i="18" s="1"/>
  <c r="I342" i="18"/>
  <c r="C343" i="18" s="1"/>
  <c r="J342" i="18"/>
  <c r="I340" i="17"/>
  <c r="C341" i="17" s="1"/>
  <c r="F340" i="17"/>
  <c r="G340" i="17" s="1"/>
  <c r="J340" i="17"/>
  <c r="I333" i="16"/>
  <c r="C334" i="16" s="1"/>
  <c r="F333" i="16"/>
  <c r="G333" i="16" s="1"/>
  <c r="J333" i="16"/>
  <c r="E343" i="18" l="1"/>
  <c r="H343" i="18"/>
  <c r="E341" i="17"/>
  <c r="H341" i="17"/>
  <c r="E334" i="16"/>
  <c r="H334" i="16"/>
  <c r="I343" i="18" l="1"/>
  <c r="C344" i="18" s="1"/>
  <c r="F343" i="18"/>
  <c r="G343" i="18" s="1"/>
  <c r="J343" i="18"/>
  <c r="F341" i="17"/>
  <c r="G341" i="17" s="1"/>
  <c r="I341" i="17"/>
  <c r="C342" i="17" s="1"/>
  <c r="J341" i="17"/>
  <c r="I334" i="16"/>
  <c r="C335" i="16" s="1"/>
  <c r="F334" i="16"/>
  <c r="G334" i="16" s="1"/>
  <c r="J334" i="16"/>
  <c r="E344" i="18" l="1"/>
  <c r="H344" i="18"/>
  <c r="E342" i="17"/>
  <c r="H342" i="17"/>
  <c r="E335" i="16"/>
  <c r="H335" i="16"/>
  <c r="F344" i="18" l="1"/>
  <c r="G344" i="18" s="1"/>
  <c r="I344" i="18"/>
  <c r="C345" i="18" s="1"/>
  <c r="J344" i="18"/>
  <c r="F342" i="17"/>
  <c r="G342" i="17" s="1"/>
  <c r="I342" i="17"/>
  <c r="C343" i="17" s="1"/>
  <c r="J342" i="17"/>
  <c r="I335" i="16"/>
  <c r="C336" i="16" s="1"/>
  <c r="F335" i="16"/>
  <c r="G335" i="16" s="1"/>
  <c r="J335" i="16"/>
  <c r="E345" i="18" l="1"/>
  <c r="H345" i="18"/>
  <c r="H343" i="17"/>
  <c r="E343" i="17"/>
  <c r="E336" i="16"/>
  <c r="H336" i="16"/>
  <c r="F345" i="18" l="1"/>
  <c r="G345" i="18" s="1"/>
  <c r="I345" i="18"/>
  <c r="C346" i="18" s="1"/>
  <c r="J345" i="18"/>
  <c r="J343" i="17"/>
  <c r="I343" i="17"/>
  <c r="C344" i="17" s="1"/>
  <c r="F343" i="17"/>
  <c r="G343" i="17" s="1"/>
  <c r="F336" i="16"/>
  <c r="G336" i="16" s="1"/>
  <c r="I336" i="16"/>
  <c r="C337" i="16" s="1"/>
  <c r="J336" i="16"/>
  <c r="E346" i="18" l="1"/>
  <c r="H346" i="18"/>
  <c r="E344" i="17"/>
  <c r="H344" i="17"/>
  <c r="H337" i="16"/>
  <c r="E337" i="16"/>
  <c r="I346" i="18" l="1"/>
  <c r="C347" i="18" s="1"/>
  <c r="F346" i="18"/>
  <c r="G346" i="18" s="1"/>
  <c r="J346" i="18"/>
  <c r="F344" i="17"/>
  <c r="G344" i="17" s="1"/>
  <c r="I344" i="17"/>
  <c r="C345" i="17" s="1"/>
  <c r="J344" i="17"/>
  <c r="J337" i="16"/>
  <c r="I337" i="16"/>
  <c r="C338" i="16" s="1"/>
  <c r="F337" i="16"/>
  <c r="G337" i="16" s="1"/>
  <c r="E347" i="18" l="1"/>
  <c r="H347" i="18"/>
  <c r="E345" i="17"/>
  <c r="H345" i="17"/>
  <c r="E338" i="16"/>
  <c r="H338" i="16"/>
  <c r="F347" i="18" l="1"/>
  <c r="G347" i="18" s="1"/>
  <c r="I347" i="18"/>
  <c r="C348" i="18" s="1"/>
  <c r="J347" i="18"/>
  <c r="F345" i="17"/>
  <c r="G345" i="17" s="1"/>
  <c r="I345" i="17"/>
  <c r="C346" i="17" s="1"/>
  <c r="J345" i="17"/>
  <c r="F338" i="16"/>
  <c r="G338" i="16" s="1"/>
  <c r="I338" i="16"/>
  <c r="C339" i="16" s="1"/>
  <c r="J338" i="16"/>
  <c r="E348" i="18" l="1"/>
  <c r="H348" i="18"/>
  <c r="H346" i="17"/>
  <c r="E346" i="17"/>
  <c r="E339" i="16"/>
  <c r="H339" i="16"/>
  <c r="F348" i="18" l="1"/>
  <c r="G348" i="18" s="1"/>
  <c r="I348" i="18"/>
  <c r="C349" i="18" s="1"/>
  <c r="J348" i="18"/>
  <c r="J346" i="17"/>
  <c r="I346" i="17"/>
  <c r="C347" i="17" s="1"/>
  <c r="F346" i="17"/>
  <c r="G346" i="17" s="1"/>
  <c r="F339" i="16"/>
  <c r="G339" i="16" s="1"/>
  <c r="I339" i="16"/>
  <c r="C340" i="16" s="1"/>
  <c r="J339" i="16"/>
  <c r="H349" i="18" l="1"/>
  <c r="E349" i="18"/>
  <c r="H347" i="17"/>
  <c r="E347" i="17"/>
  <c r="E340" i="16"/>
  <c r="H340" i="16"/>
  <c r="J349" i="18" l="1"/>
  <c r="F349" i="18"/>
  <c r="G349" i="18" s="1"/>
  <c r="I349" i="18"/>
  <c r="C350" i="18" s="1"/>
  <c r="J347" i="17"/>
  <c r="F347" i="17"/>
  <c r="G347" i="17" s="1"/>
  <c r="I347" i="17"/>
  <c r="C348" i="17" s="1"/>
  <c r="I340" i="16"/>
  <c r="C341" i="16" s="1"/>
  <c r="F340" i="16"/>
  <c r="G340" i="16" s="1"/>
  <c r="J340" i="16"/>
  <c r="E350" i="18" l="1"/>
  <c r="H350" i="18"/>
  <c r="E348" i="17"/>
  <c r="H348" i="17"/>
  <c r="E341" i="16"/>
  <c r="H341" i="16"/>
  <c r="F350" i="18" l="1"/>
  <c r="G350" i="18" s="1"/>
  <c r="I350" i="18"/>
  <c r="C351" i="18" s="1"/>
  <c r="J350" i="18"/>
  <c r="I348" i="17"/>
  <c r="C349" i="17" s="1"/>
  <c r="F348" i="17"/>
  <c r="G348" i="17" s="1"/>
  <c r="J348" i="17"/>
  <c r="I341" i="16"/>
  <c r="C342" i="16" s="1"/>
  <c r="F341" i="16"/>
  <c r="G341" i="16" s="1"/>
  <c r="J341" i="16"/>
  <c r="E351" i="18" l="1"/>
  <c r="H351" i="18"/>
  <c r="E349" i="17"/>
  <c r="H349" i="17"/>
  <c r="E342" i="16"/>
  <c r="H342" i="16"/>
  <c r="I351" i="18" l="1"/>
  <c r="C352" i="18" s="1"/>
  <c r="F351" i="18"/>
  <c r="G351" i="18" s="1"/>
  <c r="J351" i="18"/>
  <c r="F349" i="17"/>
  <c r="G349" i="17" s="1"/>
  <c r="I349" i="17"/>
  <c r="C350" i="17" s="1"/>
  <c r="J349" i="17"/>
  <c r="F342" i="16"/>
  <c r="G342" i="16" s="1"/>
  <c r="I342" i="16"/>
  <c r="C343" i="16" s="1"/>
  <c r="J342" i="16"/>
  <c r="E352" i="18" l="1"/>
  <c r="H352" i="18"/>
  <c r="E350" i="17"/>
  <c r="H350" i="17"/>
  <c r="E343" i="16"/>
  <c r="H343" i="16"/>
  <c r="I352" i="18" l="1"/>
  <c r="C353" i="18" s="1"/>
  <c r="F352" i="18"/>
  <c r="G352" i="18" s="1"/>
  <c r="J352" i="18"/>
  <c r="F350" i="17"/>
  <c r="G350" i="17" s="1"/>
  <c r="I350" i="17"/>
  <c r="C351" i="17" s="1"/>
  <c r="J350" i="17"/>
  <c r="F343" i="16"/>
  <c r="G343" i="16" s="1"/>
  <c r="I343" i="16"/>
  <c r="C344" i="16" s="1"/>
  <c r="J343" i="16"/>
  <c r="H353" i="18" l="1"/>
  <c r="E353" i="18"/>
  <c r="E351" i="17"/>
  <c r="H351" i="17"/>
  <c r="E344" i="16"/>
  <c r="H344" i="16"/>
  <c r="J353" i="18" l="1"/>
  <c r="F353" i="18"/>
  <c r="G353" i="18" s="1"/>
  <c r="I353" i="18"/>
  <c r="C354" i="18" s="1"/>
  <c r="I351" i="17"/>
  <c r="C352" i="17" s="1"/>
  <c r="F351" i="17"/>
  <c r="G351" i="17" s="1"/>
  <c r="J351" i="17"/>
  <c r="F344" i="16"/>
  <c r="G344" i="16" s="1"/>
  <c r="I344" i="16"/>
  <c r="C345" i="16" s="1"/>
  <c r="J344" i="16"/>
  <c r="E354" i="18" l="1"/>
  <c r="H354" i="18"/>
  <c r="E352" i="17"/>
  <c r="H352" i="17"/>
  <c r="E345" i="16"/>
  <c r="H345" i="16"/>
  <c r="F354" i="18" l="1"/>
  <c r="G354" i="18" s="1"/>
  <c r="I354" i="18"/>
  <c r="C355" i="18" s="1"/>
  <c r="J354" i="18"/>
  <c r="F352" i="17"/>
  <c r="G352" i="17" s="1"/>
  <c r="I352" i="17"/>
  <c r="C353" i="17" s="1"/>
  <c r="J352" i="17"/>
  <c r="F345" i="16"/>
  <c r="G345" i="16" s="1"/>
  <c r="I345" i="16"/>
  <c r="C346" i="16" s="1"/>
  <c r="J345" i="16"/>
  <c r="E355" i="18" l="1"/>
  <c r="H355" i="18"/>
  <c r="E353" i="17"/>
  <c r="H353" i="17"/>
  <c r="E346" i="16"/>
  <c r="H346" i="16"/>
  <c r="F355" i="18" l="1"/>
  <c r="G355" i="18" s="1"/>
  <c r="I355" i="18"/>
  <c r="C356" i="18" s="1"/>
  <c r="J355" i="18"/>
  <c r="I353" i="17"/>
  <c r="C354" i="17" s="1"/>
  <c r="F353" i="17"/>
  <c r="G353" i="17" s="1"/>
  <c r="J353" i="17"/>
  <c r="F346" i="16"/>
  <c r="G346" i="16" s="1"/>
  <c r="I346" i="16"/>
  <c r="C347" i="16" s="1"/>
  <c r="J346" i="16"/>
  <c r="H356" i="18" l="1"/>
  <c r="E356" i="18"/>
  <c r="H354" i="17"/>
  <c r="E354" i="17"/>
  <c r="E347" i="16"/>
  <c r="H347" i="16"/>
  <c r="J356" i="18" l="1"/>
  <c r="F356" i="18"/>
  <c r="G356" i="18" s="1"/>
  <c r="I356" i="18"/>
  <c r="C357" i="18" s="1"/>
  <c r="J354" i="17"/>
  <c r="F354" i="17"/>
  <c r="G354" i="17" s="1"/>
  <c r="I354" i="17"/>
  <c r="C355" i="17" s="1"/>
  <c r="I347" i="16"/>
  <c r="C348" i="16" s="1"/>
  <c r="F347" i="16"/>
  <c r="G347" i="16" s="1"/>
  <c r="J347" i="16"/>
  <c r="E357" i="18" l="1"/>
  <c r="H357" i="18"/>
  <c r="E355" i="17"/>
  <c r="H355" i="17"/>
  <c r="E348" i="16"/>
  <c r="H348" i="16"/>
  <c r="I357" i="18" l="1"/>
  <c r="C358" i="18" s="1"/>
  <c r="F357" i="18"/>
  <c r="G357" i="18" s="1"/>
  <c r="J357" i="18"/>
  <c r="F355" i="17"/>
  <c r="G355" i="17" s="1"/>
  <c r="I355" i="17"/>
  <c r="C356" i="17" s="1"/>
  <c r="J355" i="17"/>
  <c r="F348" i="16"/>
  <c r="G348" i="16" s="1"/>
  <c r="I348" i="16"/>
  <c r="C349" i="16" s="1"/>
  <c r="J348" i="16"/>
  <c r="E358" i="18" l="1"/>
  <c r="H358" i="18"/>
  <c r="H356" i="17"/>
  <c r="E356" i="17"/>
  <c r="E349" i="16"/>
  <c r="H349" i="16"/>
  <c r="I358" i="18" l="1"/>
  <c r="C359" i="18" s="1"/>
  <c r="F358" i="18"/>
  <c r="G358" i="18" s="1"/>
  <c r="J358" i="18"/>
  <c r="J356" i="17"/>
  <c r="I356" i="17"/>
  <c r="C357" i="17" s="1"/>
  <c r="F356" i="17"/>
  <c r="G356" i="17" s="1"/>
  <c r="F349" i="16"/>
  <c r="G349" i="16" s="1"/>
  <c r="I349" i="16"/>
  <c r="C350" i="16" s="1"/>
  <c r="J349" i="16"/>
  <c r="E359" i="18" l="1"/>
  <c r="H359" i="18"/>
  <c r="E357" i="17"/>
  <c r="H357" i="17"/>
  <c r="E350" i="16"/>
  <c r="H350" i="16"/>
  <c r="F359" i="18" l="1"/>
  <c r="G359" i="18" s="1"/>
  <c r="I359" i="18"/>
  <c r="C360" i="18" s="1"/>
  <c r="J359" i="18"/>
  <c r="I357" i="17"/>
  <c r="C358" i="17" s="1"/>
  <c r="F357" i="17"/>
  <c r="G357" i="17" s="1"/>
  <c r="J357" i="17"/>
  <c r="I350" i="16"/>
  <c r="C351" i="16" s="1"/>
  <c r="F350" i="16"/>
  <c r="G350" i="16" s="1"/>
  <c r="J350" i="16"/>
  <c r="E360" i="18" l="1"/>
  <c r="H360" i="18"/>
  <c r="H358" i="17"/>
  <c r="E358" i="17"/>
  <c r="E351" i="16"/>
  <c r="H351" i="16"/>
  <c r="I360" i="18" l="1"/>
  <c r="C361" i="18" s="1"/>
  <c r="F360" i="18"/>
  <c r="G360" i="18" s="1"/>
  <c r="J360" i="18"/>
  <c r="J358" i="17"/>
  <c r="F358" i="17"/>
  <c r="G358" i="17" s="1"/>
  <c r="I358" i="17"/>
  <c r="C359" i="17" s="1"/>
  <c r="F351" i="16"/>
  <c r="G351" i="16" s="1"/>
  <c r="I351" i="16"/>
  <c r="C352" i="16" s="1"/>
  <c r="J351" i="16"/>
  <c r="E361" i="18" l="1"/>
  <c r="H361" i="18"/>
  <c r="E359" i="17"/>
  <c r="H359" i="17"/>
  <c r="E352" i="16"/>
  <c r="H352" i="16"/>
  <c r="I361" i="18" l="1"/>
  <c r="C362" i="18" s="1"/>
  <c r="F361" i="18"/>
  <c r="G361" i="18" s="1"/>
  <c r="J361" i="18"/>
  <c r="I359" i="17"/>
  <c r="C360" i="17" s="1"/>
  <c r="F359" i="17"/>
  <c r="G359" i="17" s="1"/>
  <c r="J359" i="17"/>
  <c r="F352" i="16"/>
  <c r="G352" i="16" s="1"/>
  <c r="I352" i="16"/>
  <c r="C353" i="16" s="1"/>
  <c r="J352" i="16"/>
  <c r="E362" i="18" l="1"/>
  <c r="H362" i="18"/>
  <c r="H360" i="17"/>
  <c r="E360" i="17"/>
  <c r="E353" i="16"/>
  <c r="H353" i="16"/>
  <c r="F362" i="18" l="1"/>
  <c r="G362" i="18" s="1"/>
  <c r="I362" i="18"/>
  <c r="C363" i="18" s="1"/>
  <c r="J362" i="18"/>
  <c r="J360" i="17"/>
  <c r="F360" i="17"/>
  <c r="G360" i="17" s="1"/>
  <c r="I360" i="17"/>
  <c r="C361" i="17" s="1"/>
  <c r="F353" i="16"/>
  <c r="G353" i="16" s="1"/>
  <c r="I353" i="16"/>
  <c r="C354" i="16" s="1"/>
  <c r="J353" i="16"/>
  <c r="E363" i="18" l="1"/>
  <c r="H363" i="18"/>
  <c r="H361" i="17"/>
  <c r="E361" i="17"/>
  <c r="E354" i="16"/>
  <c r="H354" i="16"/>
  <c r="F363" i="18" l="1"/>
  <c r="G363" i="18" s="1"/>
  <c r="I363" i="18"/>
  <c r="C364" i="18" s="1"/>
  <c r="J363" i="18"/>
  <c r="J361" i="17"/>
  <c r="I361" i="17"/>
  <c r="C362" i="17" s="1"/>
  <c r="F361" i="17"/>
  <c r="G361" i="17" s="1"/>
  <c r="F354" i="16"/>
  <c r="G354" i="16" s="1"/>
  <c r="I354" i="16"/>
  <c r="C355" i="16" s="1"/>
  <c r="J354" i="16"/>
  <c r="E364" i="18" l="1"/>
  <c r="H364" i="18"/>
  <c r="H362" i="17"/>
  <c r="E362" i="17"/>
  <c r="E355" i="16"/>
  <c r="H355" i="16"/>
  <c r="F364" i="18" l="1"/>
  <c r="G364" i="18" s="1"/>
  <c r="I364" i="18"/>
  <c r="C365" i="18" s="1"/>
  <c r="J364" i="18"/>
  <c r="J362" i="17"/>
  <c r="I362" i="17"/>
  <c r="C363" i="17" s="1"/>
  <c r="F362" i="17"/>
  <c r="G362" i="17" s="1"/>
  <c r="I355" i="16"/>
  <c r="C356" i="16" s="1"/>
  <c r="F355" i="16"/>
  <c r="G355" i="16" s="1"/>
  <c r="J355" i="16"/>
  <c r="E365" i="18" l="1"/>
  <c r="H365" i="18"/>
  <c r="E363" i="17"/>
  <c r="H363" i="17"/>
  <c r="E356" i="16"/>
  <c r="H356" i="16"/>
  <c r="I365" i="18" l="1"/>
  <c r="C366" i="18" s="1"/>
  <c r="F365" i="18"/>
  <c r="G365" i="18" s="1"/>
  <c r="J365" i="18"/>
  <c r="F363" i="17"/>
  <c r="G363" i="17" s="1"/>
  <c r="I363" i="17"/>
  <c r="C364" i="17" s="1"/>
  <c r="J363" i="17"/>
  <c r="F356" i="16"/>
  <c r="G356" i="16" s="1"/>
  <c r="I356" i="16"/>
  <c r="C357" i="16" s="1"/>
  <c r="J356" i="16"/>
  <c r="E366" i="18" l="1"/>
  <c r="H366" i="18"/>
  <c r="E364" i="17"/>
  <c r="H364" i="17"/>
  <c r="E357" i="16"/>
  <c r="H357" i="16"/>
  <c r="F366" i="18" l="1"/>
  <c r="G366" i="18" s="1"/>
  <c r="I366" i="18"/>
  <c r="C367" i="18" s="1"/>
  <c r="J366" i="18"/>
  <c r="I364" i="17"/>
  <c r="C365" i="17" s="1"/>
  <c r="F364" i="17"/>
  <c r="G364" i="17" s="1"/>
  <c r="J364" i="17"/>
  <c r="I357" i="16"/>
  <c r="C358" i="16" s="1"/>
  <c r="F357" i="16"/>
  <c r="G357" i="16" s="1"/>
  <c r="J357" i="16"/>
  <c r="E367" i="18" l="1"/>
  <c r="H367" i="18"/>
  <c r="H365" i="17"/>
  <c r="E365" i="17"/>
  <c r="E358" i="16"/>
  <c r="H358" i="16"/>
  <c r="I367" i="18" l="1"/>
  <c r="C368" i="18" s="1"/>
  <c r="F367" i="18"/>
  <c r="G367" i="18" s="1"/>
  <c r="J367" i="18"/>
  <c r="J365" i="17"/>
  <c r="F365" i="17"/>
  <c r="G365" i="17" s="1"/>
  <c r="I365" i="17"/>
  <c r="C366" i="17" s="1"/>
  <c r="F358" i="16"/>
  <c r="G358" i="16" s="1"/>
  <c r="I358" i="16"/>
  <c r="C359" i="16" s="1"/>
  <c r="J358" i="16"/>
  <c r="E368" i="18" l="1"/>
  <c r="H368" i="18"/>
  <c r="H366" i="17"/>
  <c r="E366" i="17"/>
  <c r="E359" i="16"/>
  <c r="H359" i="16"/>
  <c r="I368" i="18" l="1"/>
  <c r="C369" i="18" s="1"/>
  <c r="F368" i="18"/>
  <c r="G368" i="18" s="1"/>
  <c r="J368" i="18"/>
  <c r="J366" i="17"/>
  <c r="F366" i="17"/>
  <c r="G366" i="17" s="1"/>
  <c r="I366" i="17"/>
  <c r="C367" i="17" s="1"/>
  <c r="I359" i="16"/>
  <c r="C360" i="16" s="1"/>
  <c r="F359" i="16"/>
  <c r="G359" i="16" s="1"/>
  <c r="J359" i="16"/>
  <c r="E369" i="18" l="1"/>
  <c r="H369" i="18"/>
  <c r="E367" i="17"/>
  <c r="H367" i="17"/>
  <c r="E360" i="16"/>
  <c r="H360" i="16"/>
  <c r="F369" i="18" l="1"/>
  <c r="G369" i="18" s="1"/>
  <c r="I369" i="18"/>
  <c r="C370" i="18" s="1"/>
  <c r="J369" i="18"/>
  <c r="I367" i="17"/>
  <c r="C368" i="17" s="1"/>
  <c r="F367" i="17"/>
  <c r="G367" i="17" s="1"/>
  <c r="J367" i="17"/>
  <c r="F360" i="16"/>
  <c r="G360" i="16" s="1"/>
  <c r="I360" i="16"/>
  <c r="C361" i="16" s="1"/>
  <c r="J360" i="16"/>
  <c r="E370" i="18" l="1"/>
  <c r="H370" i="18"/>
  <c r="E368" i="17"/>
  <c r="H368" i="17"/>
  <c r="E361" i="16"/>
  <c r="H361" i="16"/>
  <c r="I370" i="18" l="1"/>
  <c r="C371" i="18" s="1"/>
  <c r="F370" i="18"/>
  <c r="G370" i="18" s="1"/>
  <c r="J370" i="18"/>
  <c r="F368" i="17"/>
  <c r="G368" i="17" s="1"/>
  <c r="I368" i="17"/>
  <c r="C369" i="17" s="1"/>
  <c r="J368" i="17"/>
  <c r="F361" i="16"/>
  <c r="G361" i="16" s="1"/>
  <c r="I361" i="16"/>
  <c r="C362" i="16" s="1"/>
  <c r="J361" i="16"/>
  <c r="E371" i="18" l="1"/>
  <c r="H371" i="18"/>
  <c r="E369" i="17"/>
  <c r="H369" i="17"/>
  <c r="H362" i="16"/>
  <c r="E362" i="16"/>
  <c r="F371" i="18" l="1"/>
  <c r="G371" i="18" s="1"/>
  <c r="I371" i="18"/>
  <c r="C372" i="18" s="1"/>
  <c r="J371" i="18"/>
  <c r="I369" i="17"/>
  <c r="C370" i="17" s="1"/>
  <c r="F369" i="17"/>
  <c r="G369" i="17" s="1"/>
  <c r="J369" i="17"/>
  <c r="J362" i="16"/>
  <c r="F362" i="16"/>
  <c r="G362" i="16" s="1"/>
  <c r="I362" i="16"/>
  <c r="C363" i="16" s="1"/>
  <c r="H372" i="18" l="1"/>
  <c r="E372" i="18"/>
  <c r="H370" i="17"/>
  <c r="E370" i="17"/>
  <c r="H363" i="16"/>
  <c r="E363" i="16"/>
  <c r="J372" i="18" l="1"/>
  <c r="F372" i="18"/>
  <c r="G372" i="18" s="1"/>
  <c r="I372" i="18"/>
  <c r="C373" i="18" s="1"/>
  <c r="J370" i="17"/>
  <c r="F370" i="17"/>
  <c r="G370" i="17" s="1"/>
  <c r="I370" i="17"/>
  <c r="C371" i="17" s="1"/>
  <c r="J363" i="16"/>
  <c r="F363" i="16"/>
  <c r="G363" i="16" s="1"/>
  <c r="I363" i="16"/>
  <c r="C364" i="16" s="1"/>
  <c r="E373" i="18" l="1"/>
  <c r="H373" i="18"/>
  <c r="E371" i="17"/>
  <c r="H371" i="17"/>
  <c r="E364" i="16"/>
  <c r="H364" i="16"/>
  <c r="F373" i="18" l="1"/>
  <c r="G373" i="18" s="1"/>
  <c r="I373" i="18"/>
  <c r="C374" i="18" s="1"/>
  <c r="J373" i="18"/>
  <c r="I371" i="17"/>
  <c r="C372" i="17" s="1"/>
  <c r="F371" i="17"/>
  <c r="G371" i="17" s="1"/>
  <c r="J371" i="17"/>
  <c r="I364" i="16"/>
  <c r="C365" i="16" s="1"/>
  <c r="F364" i="16"/>
  <c r="G364" i="16" s="1"/>
  <c r="J364" i="16"/>
  <c r="E374" i="18" l="1"/>
  <c r="H374" i="18"/>
  <c r="H372" i="17"/>
  <c r="E372" i="17"/>
  <c r="E365" i="16"/>
  <c r="H365" i="16"/>
  <c r="F374" i="18" l="1"/>
  <c r="G374" i="18" s="1"/>
  <c r="I374" i="18"/>
  <c r="C375" i="18" s="1"/>
  <c r="J374" i="18"/>
  <c r="J372" i="17"/>
  <c r="F372" i="17"/>
  <c r="G372" i="17" s="1"/>
  <c r="I372" i="17"/>
  <c r="C373" i="17" s="1"/>
  <c r="I365" i="16"/>
  <c r="C366" i="16" s="1"/>
  <c r="F365" i="16"/>
  <c r="G365" i="16" s="1"/>
  <c r="J365" i="16"/>
  <c r="E375" i="18" l="1"/>
  <c r="H375" i="18"/>
  <c r="H373" i="17"/>
  <c r="E373" i="17"/>
  <c r="E366" i="16"/>
  <c r="H366" i="16"/>
  <c r="I375" i="18" l="1"/>
  <c r="C376" i="18" s="1"/>
  <c r="F375" i="18"/>
  <c r="G375" i="18" s="1"/>
  <c r="J375" i="18"/>
  <c r="J373" i="17"/>
  <c r="I373" i="17"/>
  <c r="C374" i="17" s="1"/>
  <c r="F373" i="17"/>
  <c r="G373" i="17" s="1"/>
  <c r="F366" i="16"/>
  <c r="G366" i="16" s="1"/>
  <c r="I366" i="16"/>
  <c r="C367" i="16" s="1"/>
  <c r="J366" i="16"/>
  <c r="E376" i="18" l="1"/>
  <c r="H376" i="18"/>
  <c r="E374" i="17"/>
  <c r="H374" i="17"/>
  <c r="E367" i="16"/>
  <c r="H367" i="16"/>
  <c r="I376" i="18" l="1"/>
  <c r="C377" i="18" s="1"/>
  <c r="F376" i="18"/>
  <c r="G376" i="18" s="1"/>
  <c r="J376" i="18"/>
  <c r="I374" i="17"/>
  <c r="C375" i="17" s="1"/>
  <c r="F374" i="17"/>
  <c r="G374" i="17" s="1"/>
  <c r="J374" i="17"/>
  <c r="F367" i="16"/>
  <c r="G367" i="16" s="1"/>
  <c r="I367" i="16"/>
  <c r="C368" i="16" s="1"/>
  <c r="J367" i="16"/>
  <c r="E377" i="18" l="1"/>
  <c r="H377" i="18"/>
  <c r="H375" i="17"/>
  <c r="E375" i="17"/>
  <c r="E368" i="16"/>
  <c r="H368" i="16"/>
  <c r="I377" i="18" l="1"/>
  <c r="C378" i="18" s="1"/>
  <c r="F377" i="18"/>
  <c r="G377" i="18" s="1"/>
  <c r="J377" i="18"/>
  <c r="J375" i="17"/>
  <c r="I375" i="17"/>
  <c r="C376" i="17" s="1"/>
  <c r="F375" i="17"/>
  <c r="G375" i="17" s="1"/>
  <c r="I368" i="16"/>
  <c r="C369" i="16" s="1"/>
  <c r="F368" i="16"/>
  <c r="G368" i="16" s="1"/>
  <c r="J368" i="16"/>
  <c r="E378" i="18" l="1"/>
  <c r="H378" i="18"/>
  <c r="H376" i="17"/>
  <c r="E376" i="17"/>
  <c r="E369" i="16"/>
  <c r="H369" i="16"/>
  <c r="I378" i="18" l="1"/>
  <c r="C379" i="18" s="1"/>
  <c r="F378" i="18"/>
  <c r="G378" i="18" s="1"/>
  <c r="J378" i="18"/>
  <c r="J376" i="17"/>
  <c r="I376" i="17"/>
  <c r="C377" i="17" s="1"/>
  <c r="F376" i="17"/>
  <c r="G376" i="17" s="1"/>
  <c r="I369" i="16"/>
  <c r="C370" i="16" s="1"/>
  <c r="F369" i="16"/>
  <c r="G369" i="16" s="1"/>
  <c r="J369" i="16"/>
  <c r="H379" i="18" l="1"/>
  <c r="E379" i="18"/>
  <c r="H377" i="17"/>
  <c r="E377" i="17"/>
  <c r="E370" i="16"/>
  <c r="H370" i="16"/>
  <c r="J379" i="18" l="1"/>
  <c r="I379" i="18"/>
  <c r="C380" i="18" s="1"/>
  <c r="F379" i="18"/>
  <c r="G379" i="18" s="1"/>
  <c r="J377" i="17"/>
  <c r="I377" i="17"/>
  <c r="C378" i="17" s="1"/>
  <c r="F377" i="17"/>
  <c r="G377" i="17" s="1"/>
  <c r="F370" i="16"/>
  <c r="G370" i="16" s="1"/>
  <c r="I370" i="16"/>
  <c r="C371" i="16" s="1"/>
  <c r="J370" i="16"/>
  <c r="H380" i="18" l="1"/>
  <c r="E380" i="18"/>
  <c r="E378" i="17"/>
  <c r="H378" i="17"/>
  <c r="H371" i="16"/>
  <c r="E371" i="16"/>
  <c r="J380" i="18" l="1"/>
  <c r="I380" i="18"/>
  <c r="C381" i="18" s="1"/>
  <c r="F380" i="18"/>
  <c r="G380" i="18" s="1"/>
  <c r="I378" i="17"/>
  <c r="C379" i="17" s="1"/>
  <c r="F378" i="17"/>
  <c r="G378" i="17" s="1"/>
  <c r="J378" i="17"/>
  <c r="J371" i="16"/>
  <c r="I371" i="16"/>
  <c r="C372" i="16" s="1"/>
  <c r="F371" i="16"/>
  <c r="G371" i="16" s="1"/>
  <c r="E381" i="18" l="1"/>
  <c r="H381" i="18"/>
  <c r="H379" i="17"/>
  <c r="E379" i="17"/>
  <c r="H372" i="16"/>
  <c r="E372" i="16"/>
  <c r="I381" i="18" l="1"/>
  <c r="C382" i="18" s="1"/>
  <c r="F381" i="18"/>
  <c r="G381" i="18" s="1"/>
  <c r="J381" i="18"/>
  <c r="J379" i="17"/>
  <c r="I379" i="17"/>
  <c r="C380" i="17" s="1"/>
  <c r="F379" i="17"/>
  <c r="G379" i="17" s="1"/>
  <c r="J372" i="16"/>
  <c r="F372" i="16"/>
  <c r="G372" i="16" s="1"/>
  <c r="I372" i="16"/>
  <c r="C373" i="16" s="1"/>
  <c r="E382" i="18" l="1"/>
  <c r="H382" i="18"/>
  <c r="E380" i="17"/>
  <c r="H380" i="17"/>
  <c r="E373" i="16"/>
  <c r="H373" i="16"/>
  <c r="F382" i="18" l="1"/>
  <c r="G382" i="18" s="1"/>
  <c r="I382" i="18"/>
  <c r="C383" i="18" s="1"/>
  <c r="J382" i="18"/>
  <c r="F380" i="17"/>
  <c r="G380" i="17" s="1"/>
  <c r="I380" i="17"/>
  <c r="C381" i="17" s="1"/>
  <c r="J380" i="17"/>
  <c r="I373" i="16"/>
  <c r="C374" i="16" s="1"/>
  <c r="F373" i="16"/>
  <c r="G373" i="16" s="1"/>
  <c r="J373" i="16"/>
  <c r="H383" i="18" l="1"/>
  <c r="E383" i="18"/>
  <c r="H381" i="17"/>
  <c r="E381" i="17"/>
  <c r="E374" i="16"/>
  <c r="H374" i="16"/>
  <c r="J383" i="18" l="1"/>
  <c r="F383" i="18"/>
  <c r="G383" i="18" s="1"/>
  <c r="I383" i="18"/>
  <c r="C384" i="18" s="1"/>
  <c r="J381" i="17"/>
  <c r="F381" i="17"/>
  <c r="G381" i="17" s="1"/>
  <c r="I381" i="17"/>
  <c r="C382" i="17" s="1"/>
  <c r="F374" i="16"/>
  <c r="G374" i="16" s="1"/>
  <c r="I374" i="16"/>
  <c r="C375" i="16" s="1"/>
  <c r="J374" i="16"/>
  <c r="E384" i="18" l="1"/>
  <c r="H384" i="18"/>
  <c r="E382" i="17"/>
  <c r="H382" i="17"/>
  <c r="H375" i="16"/>
  <c r="E375" i="16"/>
  <c r="F384" i="18" l="1"/>
  <c r="G384" i="18" s="1"/>
  <c r="I384" i="18"/>
  <c r="C385" i="18" s="1"/>
  <c r="J384" i="18"/>
  <c r="I382" i="17"/>
  <c r="C383" i="17" s="1"/>
  <c r="F382" i="17"/>
  <c r="G382" i="17" s="1"/>
  <c r="J382" i="17"/>
  <c r="J375" i="16"/>
  <c r="I375" i="16"/>
  <c r="C376" i="16" s="1"/>
  <c r="F375" i="16"/>
  <c r="G375" i="16" s="1"/>
  <c r="E385" i="18" l="1"/>
  <c r="H385" i="18"/>
  <c r="E383" i="17"/>
  <c r="H383" i="17"/>
  <c r="H376" i="16"/>
  <c r="E376" i="16"/>
  <c r="F385" i="18" l="1"/>
  <c r="G385" i="18" s="1"/>
  <c r="I385" i="18"/>
  <c r="C386" i="18" s="1"/>
  <c r="J385" i="18"/>
  <c r="I383" i="17"/>
  <c r="C384" i="17" s="1"/>
  <c r="F383" i="17"/>
  <c r="G383" i="17" s="1"/>
  <c r="J383" i="17"/>
  <c r="J376" i="16"/>
  <c r="F376" i="16"/>
  <c r="G376" i="16" s="1"/>
  <c r="I376" i="16"/>
  <c r="C377" i="16" s="1"/>
  <c r="H386" i="18" l="1"/>
  <c r="E386" i="18"/>
  <c r="E384" i="17"/>
  <c r="H384" i="17"/>
  <c r="E377" i="16"/>
  <c r="H377" i="16"/>
  <c r="J386" i="18" l="1"/>
  <c r="F386" i="18"/>
  <c r="G386" i="18" s="1"/>
  <c r="I386" i="18"/>
  <c r="C387" i="18" s="1"/>
  <c r="F384" i="17"/>
  <c r="G384" i="17" s="1"/>
  <c r="I384" i="17"/>
  <c r="C385" i="17" s="1"/>
  <c r="J384" i="17"/>
  <c r="I377" i="16"/>
  <c r="C378" i="16" s="1"/>
  <c r="F377" i="16"/>
  <c r="G377" i="16" s="1"/>
  <c r="J377" i="16"/>
  <c r="E387" i="18" l="1"/>
  <c r="H387" i="18"/>
  <c r="E385" i="17"/>
  <c r="H385" i="17"/>
  <c r="E378" i="16"/>
  <c r="H378" i="16"/>
  <c r="F387" i="18" l="1"/>
  <c r="G387" i="18" s="1"/>
  <c r="I387" i="18"/>
  <c r="C388" i="18" s="1"/>
  <c r="J387" i="18"/>
  <c r="F385" i="17"/>
  <c r="G385" i="17" s="1"/>
  <c r="I385" i="17"/>
  <c r="C386" i="17" s="1"/>
  <c r="J385" i="17"/>
  <c r="I378" i="16"/>
  <c r="C379" i="16" s="1"/>
  <c r="F378" i="16"/>
  <c r="G378" i="16" s="1"/>
  <c r="J378" i="16"/>
  <c r="H388" i="18" l="1"/>
  <c r="E388" i="18"/>
  <c r="E386" i="17"/>
  <c r="H386" i="17"/>
  <c r="E379" i="16"/>
  <c r="H379" i="16"/>
  <c r="J388" i="18" l="1"/>
  <c r="F388" i="18"/>
  <c r="G388" i="18" s="1"/>
  <c r="I388" i="18"/>
  <c r="C389" i="18" s="1"/>
  <c r="I386" i="17"/>
  <c r="C387" i="17" s="1"/>
  <c r="F386" i="17"/>
  <c r="G386" i="17" s="1"/>
  <c r="J386" i="17"/>
  <c r="F379" i="16"/>
  <c r="G379" i="16" s="1"/>
  <c r="I379" i="16"/>
  <c r="C380" i="16" s="1"/>
  <c r="J379" i="16"/>
  <c r="E389" i="18" l="1"/>
  <c r="H389" i="18"/>
  <c r="E387" i="17"/>
  <c r="H387" i="17"/>
  <c r="E380" i="16"/>
  <c r="H380" i="16"/>
  <c r="I389" i="18" l="1"/>
  <c r="C390" i="18" s="1"/>
  <c r="F389" i="18"/>
  <c r="G389" i="18" s="1"/>
  <c r="J389" i="18"/>
  <c r="F387" i="17"/>
  <c r="G387" i="17" s="1"/>
  <c r="I387" i="17"/>
  <c r="C388" i="17" s="1"/>
  <c r="J387" i="17"/>
  <c r="F380" i="16"/>
  <c r="G380" i="16" s="1"/>
  <c r="I380" i="16"/>
  <c r="C381" i="16" s="1"/>
  <c r="J380" i="16"/>
  <c r="E390" i="18" l="1"/>
  <c r="H390" i="18"/>
  <c r="H388" i="17"/>
  <c r="E388" i="17"/>
  <c r="E381" i="16"/>
  <c r="H381" i="16"/>
  <c r="I390" i="18" l="1"/>
  <c r="C391" i="18" s="1"/>
  <c r="F390" i="18"/>
  <c r="G390" i="18" s="1"/>
  <c r="J390" i="18"/>
  <c r="J388" i="17"/>
  <c r="F388" i="17"/>
  <c r="G388" i="17" s="1"/>
  <c r="I388" i="17"/>
  <c r="C389" i="17" s="1"/>
  <c r="F381" i="16"/>
  <c r="G381" i="16" s="1"/>
  <c r="I381" i="16"/>
  <c r="C382" i="16" s="1"/>
  <c r="J381" i="16"/>
  <c r="H391" i="18" l="1"/>
  <c r="E391" i="18"/>
  <c r="H389" i="17"/>
  <c r="E389" i="17"/>
  <c r="E382" i="16"/>
  <c r="H382" i="16"/>
  <c r="J391" i="18" l="1"/>
  <c r="F391" i="18"/>
  <c r="G391" i="18" s="1"/>
  <c r="I391" i="18"/>
  <c r="C392" i="18" s="1"/>
  <c r="J389" i="17"/>
  <c r="F389" i="17"/>
  <c r="G389" i="17" s="1"/>
  <c r="I389" i="17"/>
  <c r="C390" i="17" s="1"/>
  <c r="I382" i="16"/>
  <c r="C383" i="16" s="1"/>
  <c r="F382" i="16"/>
  <c r="G382" i="16" s="1"/>
  <c r="J382" i="16"/>
  <c r="E392" i="18" l="1"/>
  <c r="H392" i="18"/>
  <c r="H390" i="17"/>
  <c r="E390" i="17"/>
  <c r="E383" i="16"/>
  <c r="H383" i="16"/>
  <c r="F392" i="18" l="1"/>
  <c r="G392" i="18" s="1"/>
  <c r="I392" i="18"/>
  <c r="C393" i="18" s="1"/>
  <c r="J392" i="18"/>
  <c r="J390" i="17"/>
  <c r="F390" i="17"/>
  <c r="G390" i="17" s="1"/>
  <c r="I390" i="17"/>
  <c r="C391" i="17" s="1"/>
  <c r="F383" i="16"/>
  <c r="G383" i="16" s="1"/>
  <c r="I383" i="16"/>
  <c r="C384" i="16" s="1"/>
  <c r="J383" i="16"/>
  <c r="E393" i="18" l="1"/>
  <c r="H393" i="18"/>
  <c r="E391" i="17"/>
  <c r="H391" i="17"/>
  <c r="E384" i="16"/>
  <c r="H384" i="16"/>
  <c r="F393" i="18" l="1"/>
  <c r="G393" i="18" s="1"/>
  <c r="I393" i="18"/>
  <c r="C394" i="18" s="1"/>
  <c r="J393" i="18"/>
  <c r="F391" i="17"/>
  <c r="G391" i="17" s="1"/>
  <c r="I391" i="17"/>
  <c r="C392" i="17" s="1"/>
  <c r="J391" i="17"/>
  <c r="I384" i="16"/>
  <c r="C385" i="16" s="1"/>
  <c r="F384" i="16"/>
  <c r="G384" i="16" s="1"/>
  <c r="J384" i="16"/>
  <c r="E394" i="18" l="1"/>
  <c r="H394" i="18"/>
  <c r="H392" i="17"/>
  <c r="E392" i="17"/>
  <c r="E385" i="16"/>
  <c r="H385" i="16"/>
  <c r="F394" i="18" l="1"/>
  <c r="G394" i="18" s="1"/>
  <c r="I394" i="18"/>
  <c r="C395" i="18" s="1"/>
  <c r="J394" i="18"/>
  <c r="J392" i="17"/>
  <c r="I392" i="17"/>
  <c r="C393" i="17" s="1"/>
  <c r="F392" i="17"/>
  <c r="G392" i="17" s="1"/>
  <c r="F385" i="16"/>
  <c r="G385" i="16" s="1"/>
  <c r="I385" i="16"/>
  <c r="C386" i="16" s="1"/>
  <c r="J385" i="16"/>
  <c r="E395" i="18" l="1"/>
  <c r="H395" i="18"/>
  <c r="H393" i="17"/>
  <c r="E393" i="17"/>
  <c r="E386" i="16"/>
  <c r="H386" i="16"/>
  <c r="I395" i="18" l="1"/>
  <c r="C396" i="18" s="1"/>
  <c r="F395" i="18"/>
  <c r="G395" i="18" s="1"/>
  <c r="J395" i="18"/>
  <c r="J393" i="17"/>
  <c r="F393" i="17"/>
  <c r="G393" i="17" s="1"/>
  <c r="I393" i="17"/>
  <c r="C394" i="17" s="1"/>
  <c r="F386" i="16"/>
  <c r="G386" i="16" s="1"/>
  <c r="I386" i="16"/>
  <c r="C387" i="16" s="1"/>
  <c r="J386" i="16"/>
  <c r="E396" i="18" l="1"/>
  <c r="H396" i="18"/>
  <c r="H394" i="17"/>
  <c r="E394" i="17"/>
  <c r="E387" i="16"/>
  <c r="H387" i="16"/>
  <c r="I396" i="18" l="1"/>
  <c r="C397" i="18" s="1"/>
  <c r="F396" i="18"/>
  <c r="G396" i="18" s="1"/>
  <c r="J396" i="18"/>
  <c r="J394" i="17"/>
  <c r="I394" i="17"/>
  <c r="C395" i="17" s="1"/>
  <c r="F394" i="17"/>
  <c r="G394" i="17" s="1"/>
  <c r="I387" i="16"/>
  <c r="C388" i="16" s="1"/>
  <c r="F387" i="16"/>
  <c r="G387" i="16" s="1"/>
  <c r="J387" i="16"/>
  <c r="E397" i="18" l="1"/>
  <c r="H397" i="18"/>
  <c r="E395" i="17"/>
  <c r="H395" i="17"/>
  <c r="E388" i="16"/>
  <c r="H388" i="16"/>
  <c r="I397" i="18" l="1"/>
  <c r="C398" i="18" s="1"/>
  <c r="F397" i="18"/>
  <c r="G397" i="18" s="1"/>
  <c r="J397" i="18"/>
  <c r="I395" i="17"/>
  <c r="C396" i="17" s="1"/>
  <c r="F395" i="17"/>
  <c r="G395" i="17" s="1"/>
  <c r="J395" i="17"/>
  <c r="I388" i="16"/>
  <c r="C389" i="16" s="1"/>
  <c r="F388" i="16"/>
  <c r="G388" i="16" s="1"/>
  <c r="J388" i="16"/>
  <c r="E398" i="18" l="1"/>
  <c r="H398" i="18"/>
  <c r="H396" i="17"/>
  <c r="E396" i="17"/>
  <c r="E389" i="16"/>
  <c r="H389" i="16"/>
  <c r="F398" i="18" l="1"/>
  <c r="G398" i="18" s="1"/>
  <c r="I398" i="18"/>
  <c r="C399" i="18" s="1"/>
  <c r="J398" i="18"/>
  <c r="J396" i="17"/>
  <c r="F396" i="17"/>
  <c r="G396" i="17" s="1"/>
  <c r="I396" i="17"/>
  <c r="C397" i="17" s="1"/>
  <c r="I389" i="16"/>
  <c r="C390" i="16" s="1"/>
  <c r="F389" i="16"/>
  <c r="G389" i="16" s="1"/>
  <c r="J389" i="16"/>
  <c r="E399" i="18" l="1"/>
  <c r="H399" i="18"/>
  <c r="E397" i="17"/>
  <c r="H397" i="17"/>
  <c r="E390" i="16"/>
  <c r="H390" i="16"/>
  <c r="I399" i="18" l="1"/>
  <c r="C400" i="18" s="1"/>
  <c r="F399" i="18"/>
  <c r="G399" i="18" s="1"/>
  <c r="J399" i="18"/>
  <c r="I397" i="17"/>
  <c r="C398" i="17" s="1"/>
  <c r="F397" i="17"/>
  <c r="G397" i="17" s="1"/>
  <c r="J397" i="17"/>
  <c r="I390" i="16"/>
  <c r="C391" i="16" s="1"/>
  <c r="F390" i="16"/>
  <c r="G390" i="16" s="1"/>
  <c r="J390" i="16"/>
  <c r="E400" i="18" l="1"/>
  <c r="H400" i="18"/>
  <c r="H398" i="17"/>
  <c r="E398" i="17"/>
  <c r="E391" i="16"/>
  <c r="H391" i="16"/>
  <c r="I400" i="18" l="1"/>
  <c r="C401" i="18" s="1"/>
  <c r="F400" i="18"/>
  <c r="G400" i="18" s="1"/>
  <c r="J400" i="18"/>
  <c r="J398" i="17"/>
  <c r="I398" i="17"/>
  <c r="C399" i="17" s="1"/>
  <c r="F398" i="17"/>
  <c r="G398" i="17" s="1"/>
  <c r="F391" i="16"/>
  <c r="G391" i="16" s="1"/>
  <c r="I391" i="16"/>
  <c r="C392" i="16" s="1"/>
  <c r="J391" i="16"/>
  <c r="E401" i="18" l="1"/>
  <c r="H401" i="18"/>
  <c r="H399" i="17"/>
  <c r="E399" i="17"/>
  <c r="E392" i="16"/>
  <c r="H392" i="16"/>
  <c r="I401" i="18" l="1"/>
  <c r="C402" i="18" s="1"/>
  <c r="F401" i="18"/>
  <c r="G401" i="18" s="1"/>
  <c r="J401" i="18"/>
  <c r="J399" i="17"/>
  <c r="F399" i="17"/>
  <c r="G399" i="17" s="1"/>
  <c r="I399" i="17"/>
  <c r="C400" i="17" s="1"/>
  <c r="F392" i="16"/>
  <c r="G392" i="16" s="1"/>
  <c r="I392" i="16"/>
  <c r="C393" i="16" s="1"/>
  <c r="J392" i="16"/>
  <c r="E402" i="18" l="1"/>
  <c r="H402" i="18"/>
  <c r="E400" i="17"/>
  <c r="H400" i="17"/>
  <c r="E393" i="16"/>
  <c r="H393" i="16"/>
  <c r="F402" i="18" l="1"/>
  <c r="G402" i="18" s="1"/>
  <c r="I402" i="18"/>
  <c r="C403" i="18" s="1"/>
  <c r="J402" i="18"/>
  <c r="I400" i="17"/>
  <c r="C401" i="17" s="1"/>
  <c r="F400" i="17"/>
  <c r="G400" i="17" s="1"/>
  <c r="J400" i="17"/>
  <c r="I393" i="16"/>
  <c r="C394" i="16" s="1"/>
  <c r="F393" i="16"/>
  <c r="G393" i="16" s="1"/>
  <c r="J393" i="16"/>
  <c r="E403" i="18" l="1"/>
  <c r="H403" i="18"/>
  <c r="E401" i="17"/>
  <c r="H401" i="17"/>
  <c r="E394" i="16"/>
  <c r="H394" i="16"/>
  <c r="I403" i="18" l="1"/>
  <c r="C404" i="18" s="1"/>
  <c r="F403" i="18"/>
  <c r="G403" i="18" s="1"/>
  <c r="J403" i="18"/>
  <c r="F401" i="17"/>
  <c r="G401" i="17" s="1"/>
  <c r="I401" i="17"/>
  <c r="C402" i="17" s="1"/>
  <c r="J401" i="17"/>
  <c r="F394" i="16"/>
  <c r="G394" i="16" s="1"/>
  <c r="I394" i="16"/>
  <c r="C395" i="16" s="1"/>
  <c r="J394" i="16"/>
  <c r="H404" i="18" l="1"/>
  <c r="E404" i="18"/>
  <c r="E402" i="17"/>
  <c r="H402" i="17"/>
  <c r="E395" i="16"/>
  <c r="H395" i="16"/>
  <c r="J404" i="18" l="1"/>
  <c r="F404" i="18"/>
  <c r="G404" i="18" s="1"/>
  <c r="I404" i="18"/>
  <c r="C405" i="18" s="1"/>
  <c r="I402" i="17"/>
  <c r="C403" i="17" s="1"/>
  <c r="F402" i="17"/>
  <c r="G402" i="17" s="1"/>
  <c r="J402" i="17"/>
  <c r="I395" i="16"/>
  <c r="C396" i="16" s="1"/>
  <c r="F395" i="16"/>
  <c r="G395" i="16" s="1"/>
  <c r="J395" i="16"/>
  <c r="E405" i="18" l="1"/>
  <c r="H405" i="18"/>
  <c r="E403" i="17"/>
  <c r="H403" i="17"/>
  <c r="E396" i="16"/>
  <c r="H396" i="16"/>
  <c r="I405" i="18" l="1"/>
  <c r="C406" i="18" s="1"/>
  <c r="F405" i="18"/>
  <c r="G405" i="18" s="1"/>
  <c r="J405" i="18"/>
  <c r="I403" i="17"/>
  <c r="C404" i="17" s="1"/>
  <c r="F403" i="17"/>
  <c r="G403" i="17" s="1"/>
  <c r="J403" i="17"/>
  <c r="F396" i="16"/>
  <c r="G396" i="16" s="1"/>
  <c r="I396" i="16"/>
  <c r="C397" i="16" s="1"/>
  <c r="J396" i="16"/>
  <c r="E406" i="18" l="1"/>
  <c r="H406" i="18"/>
  <c r="E404" i="17"/>
  <c r="H404" i="17"/>
  <c r="E397" i="16"/>
  <c r="H397" i="16"/>
  <c r="I406" i="18" l="1"/>
  <c r="C407" i="18" s="1"/>
  <c r="F406" i="18"/>
  <c r="G406" i="18" s="1"/>
  <c r="J406" i="18"/>
  <c r="I404" i="17"/>
  <c r="C405" i="17" s="1"/>
  <c r="F404" i="17"/>
  <c r="G404" i="17" s="1"/>
  <c r="J404" i="17"/>
  <c r="F397" i="16"/>
  <c r="G397" i="16" s="1"/>
  <c r="I397" i="16"/>
  <c r="C398" i="16" s="1"/>
  <c r="J397" i="16"/>
  <c r="E407" i="18" l="1"/>
  <c r="H407" i="18"/>
  <c r="E405" i="17"/>
  <c r="H405" i="17"/>
  <c r="E398" i="16"/>
  <c r="H398" i="16"/>
  <c r="F407" i="18" l="1"/>
  <c r="G407" i="18" s="1"/>
  <c r="I407" i="18"/>
  <c r="C408" i="18" s="1"/>
  <c r="J407" i="18"/>
  <c r="I405" i="17"/>
  <c r="C406" i="17" s="1"/>
  <c r="F405" i="17"/>
  <c r="G405" i="17" s="1"/>
  <c r="J405" i="17"/>
  <c r="I398" i="16"/>
  <c r="C399" i="16" s="1"/>
  <c r="F398" i="16"/>
  <c r="G398" i="16" s="1"/>
  <c r="J398" i="16"/>
  <c r="H408" i="18" l="1"/>
  <c r="E408" i="18"/>
  <c r="H406" i="17"/>
  <c r="E406" i="17"/>
  <c r="E399" i="16"/>
  <c r="H399" i="16"/>
  <c r="J408" i="18" l="1"/>
  <c r="F408" i="18"/>
  <c r="G408" i="18" s="1"/>
  <c r="I408" i="18"/>
  <c r="C409" i="18" s="1"/>
  <c r="J406" i="17"/>
  <c r="F406" i="17"/>
  <c r="G406" i="17" s="1"/>
  <c r="I406" i="17"/>
  <c r="C407" i="17" s="1"/>
  <c r="I399" i="16"/>
  <c r="C400" i="16" s="1"/>
  <c r="F399" i="16"/>
  <c r="G399" i="16" s="1"/>
  <c r="J399" i="16"/>
  <c r="E409" i="18" l="1"/>
  <c r="H409" i="18"/>
  <c r="E407" i="17"/>
  <c r="H407" i="17"/>
  <c r="E400" i="16"/>
  <c r="H400" i="16"/>
  <c r="F409" i="18" l="1"/>
  <c r="G409" i="18" s="1"/>
  <c r="I409" i="18"/>
  <c r="C410" i="18" s="1"/>
  <c r="J409" i="18"/>
  <c r="F407" i="17"/>
  <c r="G407" i="17" s="1"/>
  <c r="I407" i="17"/>
  <c r="C408" i="17" s="1"/>
  <c r="J407" i="17"/>
  <c r="I400" i="16"/>
  <c r="C401" i="16" s="1"/>
  <c r="F400" i="16"/>
  <c r="G400" i="16" s="1"/>
  <c r="J400" i="16"/>
  <c r="E410" i="18" l="1"/>
  <c r="H410" i="18"/>
  <c r="E408" i="17"/>
  <c r="H408" i="17"/>
  <c r="E401" i="16"/>
  <c r="H401" i="16"/>
  <c r="F410" i="18" l="1"/>
  <c r="G410" i="18" s="1"/>
  <c r="I410" i="18"/>
  <c r="C411" i="18" s="1"/>
  <c r="J410" i="18"/>
  <c r="F408" i="17"/>
  <c r="G408" i="17" s="1"/>
  <c r="I408" i="17"/>
  <c r="C409" i="17" s="1"/>
  <c r="J408" i="17"/>
  <c r="I401" i="16"/>
  <c r="C402" i="16" s="1"/>
  <c r="F401" i="16"/>
  <c r="G401" i="16" s="1"/>
  <c r="J401" i="16"/>
  <c r="E411" i="18" l="1"/>
  <c r="H411" i="18"/>
  <c r="E409" i="17"/>
  <c r="H409" i="17"/>
  <c r="E402" i="16"/>
  <c r="H402" i="16"/>
  <c r="I411" i="18" l="1"/>
  <c r="C412" i="18" s="1"/>
  <c r="F411" i="18"/>
  <c r="G411" i="18" s="1"/>
  <c r="J411" i="18"/>
  <c r="F409" i="17"/>
  <c r="G409" i="17" s="1"/>
  <c r="I409" i="17"/>
  <c r="C410" i="17" s="1"/>
  <c r="J409" i="17"/>
  <c r="F402" i="16"/>
  <c r="G402" i="16" s="1"/>
  <c r="I402" i="16"/>
  <c r="C403" i="16" s="1"/>
  <c r="J402" i="16"/>
  <c r="H412" i="18" l="1"/>
  <c r="E412" i="18"/>
  <c r="E410" i="17"/>
  <c r="H410" i="17"/>
  <c r="E403" i="16"/>
  <c r="H403" i="16"/>
  <c r="J412" i="18" l="1"/>
  <c r="F412" i="18"/>
  <c r="G412" i="18" s="1"/>
  <c r="I412" i="18"/>
  <c r="C413" i="18" s="1"/>
  <c r="F410" i="17"/>
  <c r="G410" i="17" s="1"/>
  <c r="I410" i="17"/>
  <c r="C411" i="17" s="1"/>
  <c r="J410" i="17"/>
  <c r="F403" i="16"/>
  <c r="G403" i="16" s="1"/>
  <c r="I403" i="16"/>
  <c r="C404" i="16" s="1"/>
  <c r="J403" i="16"/>
  <c r="E413" i="18" l="1"/>
  <c r="H413" i="18"/>
  <c r="E411" i="17"/>
  <c r="H411" i="17"/>
  <c r="E404" i="16"/>
  <c r="H404" i="16"/>
  <c r="I413" i="18" l="1"/>
  <c r="C414" i="18" s="1"/>
  <c r="F413" i="18"/>
  <c r="G413" i="18" s="1"/>
  <c r="J413" i="18"/>
  <c r="F411" i="17"/>
  <c r="G411" i="17" s="1"/>
  <c r="I411" i="17"/>
  <c r="C412" i="17" s="1"/>
  <c r="J411" i="17"/>
  <c r="I404" i="16"/>
  <c r="C405" i="16" s="1"/>
  <c r="F404" i="16"/>
  <c r="G404" i="16" s="1"/>
  <c r="J404" i="16"/>
  <c r="E414" i="18" l="1"/>
  <c r="H414" i="18"/>
  <c r="E412" i="17"/>
  <c r="H412" i="17"/>
  <c r="E405" i="16"/>
  <c r="H405" i="16"/>
  <c r="F414" i="18" l="1"/>
  <c r="G414" i="18" s="1"/>
  <c r="I414" i="18"/>
  <c r="C415" i="18" s="1"/>
  <c r="J414" i="18"/>
  <c r="F412" i="17"/>
  <c r="G412" i="17" s="1"/>
  <c r="I412" i="17"/>
  <c r="C413" i="17" s="1"/>
  <c r="J412" i="17"/>
  <c r="I405" i="16"/>
  <c r="C406" i="16" s="1"/>
  <c r="F405" i="16"/>
  <c r="G405" i="16" s="1"/>
  <c r="J405" i="16"/>
  <c r="E415" i="18" l="1"/>
  <c r="H415" i="18"/>
  <c r="E413" i="17"/>
  <c r="H413" i="17"/>
  <c r="E406" i="16"/>
  <c r="H406" i="16"/>
  <c r="F415" i="18" l="1"/>
  <c r="G415" i="18" s="1"/>
  <c r="I415" i="18"/>
  <c r="C416" i="18" s="1"/>
  <c r="J415" i="18"/>
  <c r="I413" i="17"/>
  <c r="C414" i="17" s="1"/>
  <c r="F413" i="17"/>
  <c r="G413" i="17" s="1"/>
  <c r="J413" i="17"/>
  <c r="F406" i="16"/>
  <c r="G406" i="16" s="1"/>
  <c r="I406" i="16"/>
  <c r="C407" i="16" s="1"/>
  <c r="J406" i="16"/>
  <c r="E416" i="18" l="1"/>
  <c r="H416" i="18"/>
  <c r="H414" i="17"/>
  <c r="E414" i="17"/>
  <c r="E407" i="16"/>
  <c r="H407" i="16"/>
  <c r="F416" i="18" l="1"/>
  <c r="G416" i="18" s="1"/>
  <c r="I416" i="18"/>
  <c r="C417" i="18" s="1"/>
  <c r="J416" i="18"/>
  <c r="J414" i="17"/>
  <c r="F414" i="17"/>
  <c r="G414" i="17" s="1"/>
  <c r="I414" i="17"/>
  <c r="C415" i="17" s="1"/>
  <c r="F407" i="16"/>
  <c r="G407" i="16" s="1"/>
  <c r="I407" i="16"/>
  <c r="C408" i="16" s="1"/>
  <c r="J407" i="16"/>
  <c r="E417" i="18" l="1"/>
  <c r="H417" i="18"/>
  <c r="H415" i="17"/>
  <c r="E415" i="17"/>
  <c r="E408" i="16"/>
  <c r="H408" i="16"/>
  <c r="I417" i="18" l="1"/>
  <c r="C418" i="18" s="1"/>
  <c r="F417" i="18"/>
  <c r="G417" i="18" s="1"/>
  <c r="J417" i="18"/>
  <c r="J415" i="17"/>
  <c r="F415" i="17"/>
  <c r="G415" i="17" s="1"/>
  <c r="I415" i="17"/>
  <c r="C416" i="17" s="1"/>
  <c r="F408" i="16"/>
  <c r="G408" i="16" s="1"/>
  <c r="I408" i="16"/>
  <c r="C409" i="16" s="1"/>
  <c r="J408" i="16"/>
  <c r="H418" i="18" l="1"/>
  <c r="E418" i="18"/>
  <c r="H416" i="17"/>
  <c r="E416" i="17"/>
  <c r="H409" i="16"/>
  <c r="E409" i="16"/>
  <c r="J418" i="18" l="1"/>
  <c r="F418" i="18"/>
  <c r="G418" i="18" s="1"/>
  <c r="I418" i="18"/>
  <c r="C419" i="18" s="1"/>
  <c r="J416" i="17"/>
  <c r="I416" i="17"/>
  <c r="C417" i="17" s="1"/>
  <c r="F416" i="17"/>
  <c r="G416" i="17" s="1"/>
  <c r="J409" i="16"/>
  <c r="F409" i="16"/>
  <c r="G409" i="16" s="1"/>
  <c r="I409" i="16"/>
  <c r="C410" i="16" s="1"/>
  <c r="E419" i="18" l="1"/>
  <c r="H419" i="18"/>
  <c r="H417" i="17"/>
  <c r="E417" i="17"/>
  <c r="E410" i="16"/>
  <c r="H410" i="16"/>
  <c r="F419" i="18" l="1"/>
  <c r="G419" i="18" s="1"/>
  <c r="I419" i="18"/>
  <c r="C420" i="18" s="1"/>
  <c r="J419" i="18"/>
  <c r="J417" i="17"/>
  <c r="I417" i="17"/>
  <c r="C418" i="17" s="1"/>
  <c r="F417" i="17"/>
  <c r="G417" i="17" s="1"/>
  <c r="F410" i="16"/>
  <c r="G410" i="16" s="1"/>
  <c r="I410" i="16"/>
  <c r="C411" i="16" s="1"/>
  <c r="J410" i="16"/>
  <c r="H420" i="18" l="1"/>
  <c r="E420" i="18"/>
  <c r="E418" i="17"/>
  <c r="H418" i="17"/>
  <c r="E411" i="16"/>
  <c r="H411" i="16"/>
  <c r="J420" i="18" l="1"/>
  <c r="F420" i="18"/>
  <c r="G420" i="18" s="1"/>
  <c r="I420" i="18"/>
  <c r="C421" i="18" s="1"/>
  <c r="F418" i="17"/>
  <c r="G418" i="17" s="1"/>
  <c r="I418" i="17"/>
  <c r="C419" i="17" s="1"/>
  <c r="J418" i="17"/>
  <c r="I411" i="16"/>
  <c r="C412" i="16" s="1"/>
  <c r="F411" i="16"/>
  <c r="G411" i="16" s="1"/>
  <c r="J411" i="16"/>
  <c r="E421" i="18" l="1"/>
  <c r="H421" i="18"/>
  <c r="H419" i="17"/>
  <c r="E419" i="17"/>
  <c r="E412" i="16"/>
  <c r="H412" i="16"/>
  <c r="F421" i="18" l="1"/>
  <c r="G421" i="18" s="1"/>
  <c r="I421" i="18"/>
  <c r="C422" i="18" s="1"/>
  <c r="J421" i="18"/>
  <c r="J419" i="17"/>
  <c r="I419" i="17"/>
  <c r="C420" i="17" s="1"/>
  <c r="F419" i="17"/>
  <c r="G419" i="17" s="1"/>
  <c r="F412" i="16"/>
  <c r="G412" i="16" s="1"/>
  <c r="I412" i="16"/>
  <c r="C413" i="16" s="1"/>
  <c r="J412" i="16"/>
  <c r="E422" i="18" l="1"/>
  <c r="H422" i="18"/>
  <c r="H420" i="17"/>
  <c r="E420" i="17"/>
  <c r="H413" i="16"/>
  <c r="E413" i="16"/>
  <c r="F422" i="18" l="1"/>
  <c r="G422" i="18" s="1"/>
  <c r="I422" i="18"/>
  <c r="C423" i="18" s="1"/>
  <c r="J422" i="18"/>
  <c r="J420" i="17"/>
  <c r="F420" i="17"/>
  <c r="G420" i="17" s="1"/>
  <c r="I420" i="17"/>
  <c r="C421" i="17" s="1"/>
  <c r="J413" i="16"/>
  <c r="F413" i="16"/>
  <c r="G413" i="16" s="1"/>
  <c r="I413" i="16"/>
  <c r="C414" i="16" s="1"/>
  <c r="E423" i="18" l="1"/>
  <c r="H423" i="18"/>
  <c r="E421" i="17"/>
  <c r="H421" i="17"/>
  <c r="E414" i="16"/>
  <c r="H414" i="16"/>
  <c r="I423" i="18" l="1"/>
  <c r="C424" i="18" s="1"/>
  <c r="F423" i="18"/>
  <c r="G423" i="18" s="1"/>
  <c r="J423" i="18"/>
  <c r="I421" i="17"/>
  <c r="C422" i="17" s="1"/>
  <c r="F421" i="17"/>
  <c r="G421" i="17" s="1"/>
  <c r="J421" i="17"/>
  <c r="I414" i="16"/>
  <c r="C415" i="16" s="1"/>
  <c r="F414" i="16"/>
  <c r="G414" i="16" s="1"/>
  <c r="J414" i="16"/>
  <c r="E424" i="18" l="1"/>
  <c r="H424" i="18"/>
  <c r="E422" i="17"/>
  <c r="H422" i="17"/>
  <c r="E415" i="16"/>
  <c r="H415" i="16"/>
  <c r="F424" i="18" l="1"/>
  <c r="G424" i="18" s="1"/>
  <c r="I424" i="18"/>
  <c r="C425" i="18" s="1"/>
  <c r="J424" i="18"/>
  <c r="I422" i="17"/>
  <c r="C423" i="17" s="1"/>
  <c r="F422" i="17"/>
  <c r="G422" i="17" s="1"/>
  <c r="J422" i="17"/>
  <c r="I415" i="16"/>
  <c r="C416" i="16" s="1"/>
  <c r="F415" i="16"/>
  <c r="G415" i="16" s="1"/>
  <c r="J415" i="16"/>
  <c r="E425" i="18" l="1"/>
  <c r="H425" i="18"/>
  <c r="E423" i="17"/>
  <c r="H423" i="17"/>
  <c r="E416" i="16"/>
  <c r="H416" i="16"/>
  <c r="F425" i="18" l="1"/>
  <c r="G425" i="18" s="1"/>
  <c r="I425" i="18"/>
  <c r="C426" i="18" s="1"/>
  <c r="J425" i="18"/>
  <c r="F423" i="17"/>
  <c r="G423" i="17" s="1"/>
  <c r="I423" i="17"/>
  <c r="C424" i="17" s="1"/>
  <c r="J423" i="17"/>
  <c r="I416" i="16"/>
  <c r="C417" i="16" s="1"/>
  <c r="F416" i="16"/>
  <c r="G416" i="16" s="1"/>
  <c r="J416" i="16"/>
  <c r="H426" i="18" l="1"/>
  <c r="E426" i="18"/>
  <c r="H424" i="17"/>
  <c r="E424" i="17"/>
  <c r="E417" i="16"/>
  <c r="H417" i="16"/>
  <c r="J426" i="18" l="1"/>
  <c r="F426" i="18"/>
  <c r="G426" i="18" s="1"/>
  <c r="I426" i="18"/>
  <c r="C427" i="18" s="1"/>
  <c r="J424" i="17"/>
  <c r="I424" i="17"/>
  <c r="C425" i="17" s="1"/>
  <c r="F424" i="17"/>
  <c r="G424" i="17" s="1"/>
  <c r="I417" i="16"/>
  <c r="C418" i="16" s="1"/>
  <c r="F417" i="16"/>
  <c r="G417" i="16" s="1"/>
  <c r="J417" i="16"/>
  <c r="E427" i="18" l="1"/>
  <c r="H427" i="18"/>
  <c r="H425" i="17"/>
  <c r="E425" i="17"/>
  <c r="E418" i="16"/>
  <c r="H418" i="16"/>
  <c r="F427" i="18" l="1"/>
  <c r="G427" i="18" s="1"/>
  <c r="I427" i="18"/>
  <c r="C428" i="18" s="1"/>
  <c r="J427" i="18"/>
  <c r="J425" i="17"/>
  <c r="F425" i="17"/>
  <c r="G425" i="17" s="1"/>
  <c r="I425" i="17"/>
  <c r="C426" i="17" s="1"/>
  <c r="F418" i="16"/>
  <c r="G418" i="16" s="1"/>
  <c r="I418" i="16"/>
  <c r="C419" i="16" s="1"/>
  <c r="J418" i="16"/>
  <c r="E428" i="18" l="1"/>
  <c r="H428" i="18"/>
  <c r="E426" i="17"/>
  <c r="H426" i="17"/>
  <c r="H419" i="16"/>
  <c r="E419" i="16"/>
  <c r="I428" i="18" l="1"/>
  <c r="C429" i="18" s="1"/>
  <c r="F428" i="18"/>
  <c r="G428" i="18" s="1"/>
  <c r="J428" i="18"/>
  <c r="F426" i="17"/>
  <c r="G426" i="17" s="1"/>
  <c r="I426" i="17"/>
  <c r="C427" i="17" s="1"/>
  <c r="J426" i="17"/>
  <c r="J419" i="16"/>
  <c r="F419" i="16"/>
  <c r="G419" i="16" s="1"/>
  <c r="I419" i="16"/>
  <c r="C420" i="16" s="1"/>
  <c r="E429" i="18" l="1"/>
  <c r="H429" i="18"/>
  <c r="E427" i="17"/>
  <c r="H427" i="17"/>
  <c r="E420" i="16"/>
  <c r="H420" i="16"/>
  <c r="F429" i="18" l="1"/>
  <c r="G429" i="18" s="1"/>
  <c r="I429" i="18"/>
  <c r="C430" i="18" s="1"/>
  <c r="J429" i="18"/>
  <c r="I427" i="17"/>
  <c r="C428" i="17" s="1"/>
  <c r="F427" i="17"/>
  <c r="G427" i="17" s="1"/>
  <c r="J427" i="17"/>
  <c r="F420" i="16"/>
  <c r="G420" i="16" s="1"/>
  <c r="I420" i="16"/>
  <c r="C421" i="16" s="1"/>
  <c r="J420" i="16"/>
  <c r="E430" i="18" l="1"/>
  <c r="H430" i="18"/>
  <c r="E428" i="17"/>
  <c r="H428" i="17"/>
  <c r="E421" i="16"/>
  <c r="H421" i="16"/>
  <c r="F430" i="18" l="1"/>
  <c r="G430" i="18" s="1"/>
  <c r="I430" i="18"/>
  <c r="C431" i="18" s="1"/>
  <c r="J430" i="18"/>
  <c r="F428" i="17"/>
  <c r="G428" i="17" s="1"/>
  <c r="I428" i="17"/>
  <c r="C429" i="17" s="1"/>
  <c r="J428" i="17"/>
  <c r="I421" i="16"/>
  <c r="C422" i="16" s="1"/>
  <c r="F421" i="16"/>
  <c r="G421" i="16" s="1"/>
  <c r="J421" i="16"/>
  <c r="E431" i="18" l="1"/>
  <c r="H431" i="18"/>
  <c r="H429" i="17"/>
  <c r="E429" i="17"/>
  <c r="E422" i="16"/>
  <c r="H422" i="16"/>
  <c r="F431" i="18" l="1"/>
  <c r="G431" i="18" s="1"/>
  <c r="I431" i="18"/>
  <c r="C432" i="18" s="1"/>
  <c r="J431" i="18"/>
  <c r="J429" i="17"/>
  <c r="F429" i="17"/>
  <c r="G429" i="17" s="1"/>
  <c r="I429" i="17"/>
  <c r="C430" i="17" s="1"/>
  <c r="F422" i="16"/>
  <c r="G422" i="16" s="1"/>
  <c r="I422" i="16"/>
  <c r="C423" i="16" s="1"/>
  <c r="J422" i="16"/>
  <c r="E432" i="18" l="1"/>
  <c r="H432" i="18"/>
  <c r="E430" i="17"/>
  <c r="H430" i="17"/>
  <c r="E423" i="16"/>
  <c r="H423" i="16"/>
  <c r="I432" i="18" l="1"/>
  <c r="C433" i="18" s="1"/>
  <c r="F432" i="18"/>
  <c r="G432" i="18" s="1"/>
  <c r="J432" i="18"/>
  <c r="F430" i="17"/>
  <c r="G430" i="17" s="1"/>
  <c r="I430" i="17"/>
  <c r="C431" i="17" s="1"/>
  <c r="J430" i="17"/>
  <c r="F423" i="16"/>
  <c r="G423" i="16" s="1"/>
  <c r="I423" i="16"/>
  <c r="C424" i="16" s="1"/>
  <c r="J423" i="16"/>
  <c r="E433" i="18" l="1"/>
  <c r="H433" i="18"/>
  <c r="H431" i="17"/>
  <c r="E431" i="17"/>
  <c r="H424" i="16"/>
  <c r="E424" i="16"/>
  <c r="F433" i="18" l="1"/>
  <c r="G433" i="18" s="1"/>
  <c r="I433" i="18"/>
  <c r="C434" i="18" s="1"/>
  <c r="J433" i="18"/>
  <c r="J431" i="17"/>
  <c r="I431" i="17"/>
  <c r="C432" i="17" s="1"/>
  <c r="F431" i="17"/>
  <c r="G431" i="17" s="1"/>
  <c r="J424" i="16"/>
  <c r="F424" i="16"/>
  <c r="G424" i="16" s="1"/>
  <c r="I424" i="16"/>
  <c r="C425" i="16" s="1"/>
  <c r="E434" i="18" l="1"/>
  <c r="H434" i="18"/>
  <c r="E432" i="17"/>
  <c r="H432" i="17"/>
  <c r="E425" i="16"/>
  <c r="H425" i="16"/>
  <c r="I434" i="18" l="1"/>
  <c r="C435" i="18" s="1"/>
  <c r="F434" i="18"/>
  <c r="G434" i="18" s="1"/>
  <c r="J434" i="18"/>
  <c r="I432" i="17"/>
  <c r="C433" i="17" s="1"/>
  <c r="F432" i="17"/>
  <c r="G432" i="17" s="1"/>
  <c r="J432" i="17"/>
  <c r="F425" i="16"/>
  <c r="G425" i="16" s="1"/>
  <c r="I425" i="16"/>
  <c r="C426" i="16" s="1"/>
  <c r="J425" i="16"/>
  <c r="E435" i="18" l="1"/>
  <c r="H435" i="18"/>
  <c r="H433" i="17"/>
  <c r="E433" i="17"/>
  <c r="E426" i="16"/>
  <c r="H426" i="16"/>
  <c r="F435" i="18" l="1"/>
  <c r="G435" i="18" s="1"/>
  <c r="I435" i="18"/>
  <c r="C436" i="18" s="1"/>
  <c r="J435" i="18"/>
  <c r="J433" i="17"/>
  <c r="F433" i="17"/>
  <c r="G433" i="17" s="1"/>
  <c r="I433" i="17"/>
  <c r="C434" i="17" s="1"/>
  <c r="F426" i="16"/>
  <c r="G426" i="16" s="1"/>
  <c r="I426" i="16"/>
  <c r="C427" i="16" s="1"/>
  <c r="J426" i="16"/>
  <c r="E436" i="18" l="1"/>
  <c r="H436" i="18"/>
  <c r="H434" i="17"/>
  <c r="E434" i="17"/>
  <c r="E427" i="16"/>
  <c r="H427" i="16"/>
  <c r="F436" i="18" l="1"/>
  <c r="G436" i="18" s="1"/>
  <c r="I436" i="18"/>
  <c r="C437" i="18" s="1"/>
  <c r="J436" i="18"/>
  <c r="J434" i="17"/>
  <c r="F434" i="17"/>
  <c r="G434" i="17" s="1"/>
  <c r="I434" i="17"/>
  <c r="C435" i="17" s="1"/>
  <c r="I427" i="16"/>
  <c r="C428" i="16" s="1"/>
  <c r="F427" i="16"/>
  <c r="G427" i="16" s="1"/>
  <c r="J427" i="16"/>
  <c r="E437" i="18" l="1"/>
  <c r="H437" i="18"/>
  <c r="E435" i="17"/>
  <c r="H435" i="17"/>
  <c r="E428" i="16"/>
  <c r="H428" i="16"/>
  <c r="F437" i="18" l="1"/>
  <c r="G437" i="18" s="1"/>
  <c r="I437" i="18"/>
  <c r="C438" i="18" s="1"/>
  <c r="J437" i="18"/>
  <c r="I435" i="17"/>
  <c r="C436" i="17" s="1"/>
  <c r="F435" i="17"/>
  <c r="G435" i="17" s="1"/>
  <c r="J435" i="17"/>
  <c r="F428" i="16"/>
  <c r="G428" i="16" s="1"/>
  <c r="I428" i="16"/>
  <c r="C429" i="16" s="1"/>
  <c r="J428" i="16"/>
  <c r="E438" i="18" l="1"/>
  <c r="H438" i="18"/>
  <c r="E436" i="17"/>
  <c r="H436" i="17"/>
  <c r="E429" i="16"/>
  <c r="H429" i="16"/>
  <c r="I438" i="18" l="1"/>
  <c r="C439" i="18" s="1"/>
  <c r="F438" i="18"/>
  <c r="G438" i="18" s="1"/>
  <c r="J438" i="18"/>
  <c r="I436" i="17"/>
  <c r="C437" i="17" s="1"/>
  <c r="F436" i="17"/>
  <c r="G436" i="17" s="1"/>
  <c r="J436" i="17"/>
  <c r="I429" i="16"/>
  <c r="C430" i="16" s="1"/>
  <c r="F429" i="16"/>
  <c r="G429" i="16" s="1"/>
  <c r="J429" i="16"/>
  <c r="H439" i="18" l="1"/>
  <c r="E439" i="18"/>
  <c r="H437" i="17"/>
  <c r="E437" i="17"/>
  <c r="E430" i="16"/>
  <c r="H430" i="16"/>
  <c r="J439" i="18" l="1"/>
  <c r="F439" i="18"/>
  <c r="G439" i="18" s="1"/>
  <c r="I439" i="18"/>
  <c r="C440" i="18" s="1"/>
  <c r="J437" i="17"/>
  <c r="F437" i="17"/>
  <c r="G437" i="17" s="1"/>
  <c r="I437" i="17"/>
  <c r="C438" i="17" s="1"/>
  <c r="F430" i="16"/>
  <c r="G430" i="16" s="1"/>
  <c r="I430" i="16"/>
  <c r="C431" i="16" s="1"/>
  <c r="J430" i="16"/>
  <c r="E440" i="18" l="1"/>
  <c r="H440" i="18"/>
  <c r="H438" i="17"/>
  <c r="E438" i="17"/>
  <c r="E431" i="16"/>
  <c r="H431" i="16"/>
  <c r="I440" i="18" l="1"/>
  <c r="C441" i="18" s="1"/>
  <c r="F440" i="18"/>
  <c r="G440" i="18" s="1"/>
  <c r="J440" i="18"/>
  <c r="J438" i="17"/>
  <c r="F438" i="17"/>
  <c r="G438" i="17" s="1"/>
  <c r="I438" i="17"/>
  <c r="C439" i="17" s="1"/>
  <c r="I431" i="16"/>
  <c r="C432" i="16" s="1"/>
  <c r="F431" i="16"/>
  <c r="G431" i="16" s="1"/>
  <c r="J431" i="16"/>
  <c r="E441" i="18" l="1"/>
  <c r="H441" i="18"/>
  <c r="H439" i="17"/>
  <c r="E439" i="17"/>
  <c r="E432" i="16"/>
  <c r="H432" i="16"/>
  <c r="I441" i="18" l="1"/>
  <c r="C442" i="18" s="1"/>
  <c r="F441" i="18"/>
  <c r="G441" i="18" s="1"/>
  <c r="J441" i="18"/>
  <c r="J439" i="17"/>
  <c r="I439" i="17"/>
  <c r="C440" i="17" s="1"/>
  <c r="F439" i="17"/>
  <c r="G439" i="17" s="1"/>
  <c r="F432" i="16"/>
  <c r="G432" i="16" s="1"/>
  <c r="I432" i="16"/>
  <c r="C433" i="16" s="1"/>
  <c r="J432" i="16"/>
  <c r="E442" i="18" l="1"/>
  <c r="H442" i="18"/>
  <c r="H440" i="17"/>
  <c r="E440" i="17"/>
  <c r="E433" i="16"/>
  <c r="H433" i="16"/>
  <c r="I442" i="18" l="1"/>
  <c r="C443" i="18" s="1"/>
  <c r="F442" i="18"/>
  <c r="G442" i="18" s="1"/>
  <c r="J442" i="18"/>
  <c r="J440" i="17"/>
  <c r="F440" i="17"/>
  <c r="G440" i="17" s="1"/>
  <c r="I440" i="17"/>
  <c r="C441" i="17" s="1"/>
  <c r="F433" i="16"/>
  <c r="G433" i="16" s="1"/>
  <c r="I433" i="16"/>
  <c r="C434" i="16" s="1"/>
  <c r="J433" i="16"/>
  <c r="E443" i="18" l="1"/>
  <c r="H443" i="18"/>
  <c r="E441" i="17"/>
  <c r="H441" i="17"/>
  <c r="E434" i="16"/>
  <c r="H434" i="16"/>
  <c r="I443" i="18" l="1"/>
  <c r="C444" i="18" s="1"/>
  <c r="F443" i="18"/>
  <c r="G443" i="18" s="1"/>
  <c r="J443" i="18"/>
  <c r="F441" i="17"/>
  <c r="G441" i="17" s="1"/>
  <c r="I441" i="17"/>
  <c r="C442" i="17" s="1"/>
  <c r="J441" i="17"/>
  <c r="F434" i="16"/>
  <c r="G434" i="16" s="1"/>
  <c r="I434" i="16"/>
  <c r="C435" i="16" s="1"/>
  <c r="J434" i="16"/>
  <c r="E444" i="18" l="1"/>
  <c r="H444" i="18"/>
  <c r="E442" i="17"/>
  <c r="H442" i="17"/>
  <c r="E435" i="16"/>
  <c r="H435" i="16"/>
  <c r="I444" i="18" l="1"/>
  <c r="C445" i="18" s="1"/>
  <c r="F444" i="18"/>
  <c r="G444" i="18" s="1"/>
  <c r="J444" i="18"/>
  <c r="I442" i="17"/>
  <c r="C443" i="17" s="1"/>
  <c r="F442" i="17"/>
  <c r="G442" i="17" s="1"/>
  <c r="J442" i="17"/>
  <c r="I435" i="16"/>
  <c r="C436" i="16" s="1"/>
  <c r="F435" i="16"/>
  <c r="G435" i="16" s="1"/>
  <c r="J435" i="16"/>
  <c r="E445" i="18" l="1"/>
  <c r="H445" i="18"/>
  <c r="E443" i="17"/>
  <c r="H443" i="17"/>
  <c r="E436" i="16"/>
  <c r="H436" i="16"/>
  <c r="I445" i="18" l="1"/>
  <c r="C446" i="18" s="1"/>
  <c r="F445" i="18"/>
  <c r="G445" i="18" s="1"/>
  <c r="J445" i="18"/>
  <c r="F443" i="17"/>
  <c r="G443" i="17" s="1"/>
  <c r="I443" i="17"/>
  <c r="C444" i="17" s="1"/>
  <c r="J443" i="17"/>
  <c r="F436" i="16"/>
  <c r="G436" i="16" s="1"/>
  <c r="I436" i="16"/>
  <c r="C437" i="16" s="1"/>
  <c r="J436" i="16"/>
  <c r="E446" i="18" l="1"/>
  <c r="H446" i="18"/>
  <c r="E444" i="17"/>
  <c r="H444" i="17"/>
  <c r="E437" i="16"/>
  <c r="H437" i="16"/>
  <c r="F446" i="18" l="1"/>
  <c r="G446" i="18" s="1"/>
  <c r="I446" i="18"/>
  <c r="C447" i="18" s="1"/>
  <c r="J446" i="18"/>
  <c r="F444" i="17"/>
  <c r="G444" i="17" s="1"/>
  <c r="I444" i="17"/>
  <c r="C445" i="17" s="1"/>
  <c r="J444" i="17"/>
  <c r="F437" i="16"/>
  <c r="G437" i="16" s="1"/>
  <c r="I437" i="16"/>
  <c r="C438" i="16" s="1"/>
  <c r="J437" i="16"/>
  <c r="E447" i="18" l="1"/>
  <c r="H447" i="18"/>
  <c r="E445" i="17"/>
  <c r="H445" i="17"/>
  <c r="E438" i="16"/>
  <c r="H438" i="16"/>
  <c r="I447" i="18" l="1"/>
  <c r="C448" i="18" s="1"/>
  <c r="F447" i="18"/>
  <c r="G447" i="18" s="1"/>
  <c r="J447" i="18"/>
  <c r="F445" i="17"/>
  <c r="G445" i="17" s="1"/>
  <c r="I445" i="17"/>
  <c r="C446" i="17" s="1"/>
  <c r="J445" i="17"/>
  <c r="F438" i="16"/>
  <c r="G438" i="16" s="1"/>
  <c r="I438" i="16"/>
  <c r="C439" i="16" s="1"/>
  <c r="J438" i="16"/>
  <c r="E448" i="18" l="1"/>
  <c r="H448" i="18"/>
  <c r="E446" i="17"/>
  <c r="H446" i="17"/>
  <c r="E439" i="16"/>
  <c r="H439" i="16"/>
  <c r="I448" i="18" l="1"/>
  <c r="C449" i="18" s="1"/>
  <c r="F448" i="18"/>
  <c r="G448" i="18" s="1"/>
  <c r="J448" i="18"/>
  <c r="I446" i="17"/>
  <c r="C447" i="17" s="1"/>
  <c r="F446" i="17"/>
  <c r="G446" i="17" s="1"/>
  <c r="J446" i="17"/>
  <c r="F439" i="16"/>
  <c r="G439" i="16" s="1"/>
  <c r="I439" i="16"/>
  <c r="C440" i="16" s="1"/>
  <c r="J439" i="16"/>
  <c r="E449" i="18" l="1"/>
  <c r="H449" i="18"/>
  <c r="H447" i="17"/>
  <c r="E447" i="17"/>
  <c r="E440" i="16"/>
  <c r="H440" i="16"/>
  <c r="I449" i="18" l="1"/>
  <c r="C450" i="18" s="1"/>
  <c r="F449" i="18"/>
  <c r="G449" i="18" s="1"/>
  <c r="J449" i="18"/>
  <c r="J447" i="17"/>
  <c r="I447" i="17"/>
  <c r="C448" i="17" s="1"/>
  <c r="F447" i="17"/>
  <c r="G447" i="17" s="1"/>
  <c r="F440" i="16"/>
  <c r="G440" i="16" s="1"/>
  <c r="I440" i="16"/>
  <c r="C441" i="16" s="1"/>
  <c r="J440" i="16"/>
  <c r="E450" i="18" l="1"/>
  <c r="H450" i="18"/>
  <c r="E448" i="17"/>
  <c r="H448" i="17"/>
  <c r="E441" i="16"/>
  <c r="H441" i="16"/>
  <c r="I450" i="18" l="1"/>
  <c r="C451" i="18" s="1"/>
  <c r="F450" i="18"/>
  <c r="G450" i="18" s="1"/>
  <c r="J450" i="18"/>
  <c r="F448" i="17"/>
  <c r="G448" i="17" s="1"/>
  <c r="I448" i="17"/>
  <c r="C449" i="17" s="1"/>
  <c r="J448" i="17"/>
  <c r="F441" i="16"/>
  <c r="G441" i="16" s="1"/>
  <c r="I441" i="16"/>
  <c r="C442" i="16" s="1"/>
  <c r="J441" i="16"/>
  <c r="H451" i="18" l="1"/>
  <c r="E451" i="18"/>
  <c r="H449" i="17"/>
  <c r="E449" i="17"/>
  <c r="E442" i="16"/>
  <c r="H442" i="16"/>
  <c r="J451" i="18" l="1"/>
  <c r="F451" i="18"/>
  <c r="G451" i="18" s="1"/>
  <c r="I451" i="18"/>
  <c r="C452" i="18" s="1"/>
  <c r="J449" i="17"/>
  <c r="F449" i="17"/>
  <c r="G449" i="17" s="1"/>
  <c r="I449" i="17"/>
  <c r="C450" i="17" s="1"/>
  <c r="I442" i="16"/>
  <c r="C443" i="16" s="1"/>
  <c r="F442" i="16"/>
  <c r="G442" i="16" s="1"/>
  <c r="J442" i="16"/>
  <c r="E452" i="18" l="1"/>
  <c r="H452" i="18"/>
  <c r="E450" i="17"/>
  <c r="H450" i="17"/>
  <c r="E443" i="16"/>
  <c r="H443" i="16"/>
  <c r="I452" i="18" l="1"/>
  <c r="C453" i="18" s="1"/>
  <c r="F452" i="18"/>
  <c r="G452" i="18" s="1"/>
  <c r="J452" i="18"/>
  <c r="I450" i="17"/>
  <c r="C451" i="17" s="1"/>
  <c r="F450" i="17"/>
  <c r="G450" i="17" s="1"/>
  <c r="J450" i="17"/>
  <c r="I443" i="16"/>
  <c r="C444" i="16" s="1"/>
  <c r="F443" i="16"/>
  <c r="G443" i="16" s="1"/>
  <c r="J443" i="16"/>
  <c r="H453" i="18" l="1"/>
  <c r="E453" i="18"/>
  <c r="E451" i="17"/>
  <c r="H451" i="17"/>
  <c r="E444" i="16"/>
  <c r="H444" i="16"/>
  <c r="J453" i="18" l="1"/>
  <c r="I453" i="18"/>
  <c r="C454" i="18" s="1"/>
  <c r="F453" i="18"/>
  <c r="G453" i="18" s="1"/>
  <c r="F451" i="17"/>
  <c r="G451" i="17" s="1"/>
  <c r="I451" i="17"/>
  <c r="C452" i="17" s="1"/>
  <c r="J451" i="17"/>
  <c r="F444" i="16"/>
  <c r="G444" i="16" s="1"/>
  <c r="I444" i="16"/>
  <c r="C445" i="16" s="1"/>
  <c r="J444" i="16"/>
  <c r="E454" i="18" l="1"/>
  <c r="H454" i="18"/>
  <c r="H452" i="17"/>
  <c r="E452" i="17"/>
  <c r="E445" i="16"/>
  <c r="H445" i="16"/>
  <c r="I454" i="18" l="1"/>
  <c r="C455" i="18" s="1"/>
  <c r="F454" i="18"/>
  <c r="G454" i="18" s="1"/>
  <c r="J454" i="18"/>
  <c r="J452" i="17"/>
  <c r="F452" i="17"/>
  <c r="G452" i="17" s="1"/>
  <c r="I452" i="17"/>
  <c r="C453" i="17" s="1"/>
  <c r="F445" i="16"/>
  <c r="G445" i="16" s="1"/>
  <c r="I445" i="16"/>
  <c r="C446" i="16" s="1"/>
  <c r="J445" i="16"/>
  <c r="H455" i="18" l="1"/>
  <c r="E455" i="18"/>
  <c r="H453" i="17"/>
  <c r="E453" i="17"/>
  <c r="E446" i="16"/>
  <c r="H446" i="16"/>
  <c r="J455" i="18" l="1"/>
  <c r="I455" i="18"/>
  <c r="C456" i="18" s="1"/>
  <c r="F455" i="18"/>
  <c r="G455" i="18" s="1"/>
  <c r="J453" i="17"/>
  <c r="F453" i="17"/>
  <c r="G453" i="17" s="1"/>
  <c r="I453" i="17"/>
  <c r="C454" i="17" s="1"/>
  <c r="I446" i="16"/>
  <c r="C447" i="16" s="1"/>
  <c r="F446" i="16"/>
  <c r="G446" i="16" s="1"/>
  <c r="J446" i="16"/>
  <c r="E456" i="18" l="1"/>
  <c r="H456" i="18"/>
  <c r="H454" i="17"/>
  <c r="E454" i="17"/>
  <c r="E447" i="16"/>
  <c r="H447" i="16"/>
  <c r="I456" i="18" l="1"/>
  <c r="C457" i="18" s="1"/>
  <c r="F456" i="18"/>
  <c r="G456" i="18" s="1"/>
  <c r="J456" i="18"/>
  <c r="J454" i="17"/>
  <c r="F454" i="17"/>
  <c r="G454" i="17" s="1"/>
  <c r="I454" i="17"/>
  <c r="C455" i="17" s="1"/>
  <c r="I447" i="16"/>
  <c r="C448" i="16" s="1"/>
  <c r="F447" i="16"/>
  <c r="G447" i="16" s="1"/>
  <c r="J447" i="16"/>
  <c r="E457" i="18" l="1"/>
  <c r="H457" i="18"/>
  <c r="E455" i="17"/>
  <c r="H455" i="17"/>
  <c r="E448" i="16"/>
  <c r="H448" i="16"/>
  <c r="I457" i="18" l="1"/>
  <c r="C458" i="18" s="1"/>
  <c r="F457" i="18"/>
  <c r="G457" i="18" s="1"/>
  <c r="J457" i="18"/>
  <c r="F455" i="17"/>
  <c r="G455" i="17" s="1"/>
  <c r="I455" i="17"/>
  <c r="C456" i="17" s="1"/>
  <c r="J455" i="17"/>
  <c r="I448" i="16"/>
  <c r="C449" i="16" s="1"/>
  <c r="F448" i="16"/>
  <c r="G448" i="16" s="1"/>
  <c r="J448" i="16"/>
  <c r="E458" i="18" l="1"/>
  <c r="H458" i="18"/>
  <c r="E456" i="17"/>
  <c r="H456" i="17"/>
  <c r="E449" i="16"/>
  <c r="H449" i="16"/>
  <c r="I458" i="18" l="1"/>
  <c r="C459" i="18" s="1"/>
  <c r="F458" i="18"/>
  <c r="G458" i="18" s="1"/>
  <c r="J458" i="18"/>
  <c r="F456" i="17"/>
  <c r="G456" i="17" s="1"/>
  <c r="I456" i="17"/>
  <c r="C457" i="17" s="1"/>
  <c r="J456" i="17"/>
  <c r="I449" i="16"/>
  <c r="C450" i="16" s="1"/>
  <c r="F449" i="16"/>
  <c r="G449" i="16" s="1"/>
  <c r="J449" i="16"/>
  <c r="E459" i="18" l="1"/>
  <c r="H459" i="18"/>
  <c r="E457" i="17"/>
  <c r="H457" i="17"/>
  <c r="E450" i="16"/>
  <c r="H450" i="16"/>
  <c r="I459" i="18" l="1"/>
  <c r="C460" i="18" s="1"/>
  <c r="F459" i="18"/>
  <c r="G459" i="18" s="1"/>
  <c r="J459" i="18"/>
  <c r="F457" i="17"/>
  <c r="G457" i="17" s="1"/>
  <c r="I457" i="17"/>
  <c r="C458" i="17" s="1"/>
  <c r="J457" i="17"/>
  <c r="F450" i="16"/>
  <c r="G450" i="16" s="1"/>
  <c r="I450" i="16"/>
  <c r="C451" i="16" s="1"/>
  <c r="J450" i="16"/>
  <c r="E460" i="18" l="1"/>
  <c r="H460" i="18"/>
  <c r="E458" i="17"/>
  <c r="H458" i="17"/>
  <c r="E451" i="16"/>
  <c r="H451" i="16"/>
  <c r="I460" i="18" l="1"/>
  <c r="C461" i="18" s="1"/>
  <c r="F460" i="18"/>
  <c r="G460" i="18" s="1"/>
  <c r="J460" i="18"/>
  <c r="I458" i="17"/>
  <c r="C459" i="17" s="1"/>
  <c r="F458" i="17"/>
  <c r="G458" i="17" s="1"/>
  <c r="J458" i="17"/>
  <c r="I451" i="16"/>
  <c r="C452" i="16" s="1"/>
  <c r="F451" i="16"/>
  <c r="G451" i="16" s="1"/>
  <c r="J451" i="16"/>
  <c r="E461" i="18" l="1"/>
  <c r="H461" i="18"/>
  <c r="E459" i="17"/>
  <c r="H459" i="17"/>
  <c r="E452" i="16"/>
  <c r="H452" i="16"/>
  <c r="F461" i="18" l="1"/>
  <c r="G461" i="18" s="1"/>
  <c r="I461" i="18"/>
  <c r="C462" i="18" s="1"/>
  <c r="J461" i="18"/>
  <c r="I459" i="17"/>
  <c r="C460" i="17" s="1"/>
  <c r="F459" i="17"/>
  <c r="G459" i="17" s="1"/>
  <c r="J459" i="17"/>
  <c r="F452" i="16"/>
  <c r="G452" i="16" s="1"/>
  <c r="I452" i="16"/>
  <c r="C453" i="16" s="1"/>
  <c r="J452" i="16"/>
  <c r="E462" i="18" l="1"/>
  <c r="H462" i="18"/>
  <c r="E460" i="17"/>
  <c r="H460" i="17"/>
  <c r="E453" i="16"/>
  <c r="H453" i="16"/>
  <c r="F462" i="18" l="1"/>
  <c r="G462" i="18" s="1"/>
  <c r="I462" i="18"/>
  <c r="C463" i="18" s="1"/>
  <c r="J462" i="18"/>
  <c r="F460" i="17"/>
  <c r="G460" i="17" s="1"/>
  <c r="I460" i="17"/>
  <c r="C461" i="17" s="1"/>
  <c r="J460" i="17"/>
  <c r="I453" i="16"/>
  <c r="C454" i="16" s="1"/>
  <c r="F453" i="16"/>
  <c r="G453" i="16" s="1"/>
  <c r="J453" i="16"/>
  <c r="E463" i="18" l="1"/>
  <c r="H463" i="18"/>
  <c r="E461" i="17"/>
  <c r="H461" i="17"/>
  <c r="E454" i="16"/>
  <c r="H454" i="16"/>
  <c r="F463" i="18" l="1"/>
  <c r="G463" i="18" s="1"/>
  <c r="I463" i="18"/>
  <c r="C464" i="18" s="1"/>
  <c r="J463" i="18"/>
  <c r="I461" i="17"/>
  <c r="C462" i="17" s="1"/>
  <c r="F461" i="17"/>
  <c r="G461" i="17" s="1"/>
  <c r="J461" i="17"/>
  <c r="F454" i="16"/>
  <c r="G454" i="16" s="1"/>
  <c r="I454" i="16"/>
  <c r="C455" i="16" s="1"/>
  <c r="J454" i="16"/>
  <c r="H464" i="18" l="1"/>
  <c r="E464" i="18"/>
  <c r="E462" i="17"/>
  <c r="H462" i="17"/>
  <c r="H455" i="16"/>
  <c r="E455" i="16"/>
  <c r="J464" i="18" l="1"/>
  <c r="I464" i="18"/>
  <c r="C465" i="18" s="1"/>
  <c r="F464" i="18"/>
  <c r="G464" i="18" s="1"/>
  <c r="F462" i="17"/>
  <c r="G462" i="17" s="1"/>
  <c r="I462" i="17"/>
  <c r="C463" i="17" s="1"/>
  <c r="J462" i="17"/>
  <c r="J455" i="16"/>
  <c r="F455" i="16"/>
  <c r="G455" i="16" s="1"/>
  <c r="I455" i="16"/>
  <c r="C456" i="16" s="1"/>
  <c r="H465" i="18" l="1"/>
  <c r="E465" i="18"/>
  <c r="H463" i="17"/>
  <c r="E463" i="17"/>
  <c r="E456" i="16"/>
  <c r="H456" i="16"/>
  <c r="J465" i="18" l="1"/>
  <c r="F465" i="18"/>
  <c r="G465" i="18" s="1"/>
  <c r="I465" i="18"/>
  <c r="C466" i="18" s="1"/>
  <c r="J463" i="17"/>
  <c r="I463" i="17"/>
  <c r="C464" i="17" s="1"/>
  <c r="F463" i="17"/>
  <c r="G463" i="17" s="1"/>
  <c r="I456" i="16"/>
  <c r="C457" i="16" s="1"/>
  <c r="F456" i="16"/>
  <c r="G456" i="16" s="1"/>
  <c r="J456" i="16"/>
  <c r="E466" i="18" l="1"/>
  <c r="H466" i="18"/>
  <c r="E464" i="17"/>
  <c r="H464" i="17"/>
  <c r="E457" i="16"/>
  <c r="H457" i="16"/>
  <c r="F466" i="18" l="1"/>
  <c r="G466" i="18" s="1"/>
  <c r="I466" i="18"/>
  <c r="C467" i="18" s="1"/>
  <c r="J466" i="18"/>
  <c r="I464" i="17"/>
  <c r="C465" i="17" s="1"/>
  <c r="F464" i="17"/>
  <c r="G464" i="17" s="1"/>
  <c r="J464" i="17"/>
  <c r="F457" i="16"/>
  <c r="G457" i="16" s="1"/>
  <c r="I457" i="16"/>
  <c r="C458" i="16" s="1"/>
  <c r="J457" i="16"/>
  <c r="E467" i="18" l="1"/>
  <c r="H467" i="18"/>
  <c r="E465" i="17"/>
  <c r="H465" i="17"/>
  <c r="E458" i="16"/>
  <c r="H458" i="16"/>
  <c r="I467" i="18" l="1"/>
  <c r="C468" i="18" s="1"/>
  <c r="F467" i="18"/>
  <c r="G467" i="18" s="1"/>
  <c r="J467" i="18"/>
  <c r="F465" i="17"/>
  <c r="G465" i="17" s="1"/>
  <c r="I465" i="17"/>
  <c r="C466" i="17" s="1"/>
  <c r="J465" i="17"/>
  <c r="I458" i="16"/>
  <c r="C459" i="16" s="1"/>
  <c r="F458" i="16"/>
  <c r="G458" i="16" s="1"/>
  <c r="J458" i="16"/>
  <c r="E468" i="18" l="1"/>
  <c r="H468" i="18"/>
  <c r="E466" i="17"/>
  <c r="H466" i="17"/>
  <c r="E459" i="16"/>
  <c r="H459" i="16"/>
  <c r="F468" i="18" l="1"/>
  <c r="G468" i="18" s="1"/>
  <c r="I468" i="18"/>
  <c r="C469" i="18" s="1"/>
  <c r="J468" i="18"/>
  <c r="F466" i="17"/>
  <c r="G466" i="17" s="1"/>
  <c r="I466" i="17"/>
  <c r="C467" i="17" s="1"/>
  <c r="J466" i="17"/>
  <c r="F459" i="16"/>
  <c r="G459" i="16" s="1"/>
  <c r="I459" i="16"/>
  <c r="C460" i="16" s="1"/>
  <c r="J459" i="16"/>
  <c r="E469" i="18" l="1"/>
  <c r="H469" i="18"/>
  <c r="E467" i="17"/>
  <c r="H467" i="17"/>
  <c r="E460" i="16"/>
  <c r="H460" i="16"/>
  <c r="F469" i="18" l="1"/>
  <c r="G469" i="18" s="1"/>
  <c r="I469" i="18"/>
  <c r="C470" i="18" s="1"/>
  <c r="J469" i="18"/>
  <c r="I467" i="17"/>
  <c r="C468" i="17" s="1"/>
  <c r="F467" i="17"/>
  <c r="G467" i="17" s="1"/>
  <c r="J467" i="17"/>
  <c r="F460" i="16"/>
  <c r="G460" i="16" s="1"/>
  <c r="I460" i="16"/>
  <c r="C461" i="16" s="1"/>
  <c r="J460" i="16"/>
  <c r="H470" i="18" l="1"/>
  <c r="E470" i="18"/>
  <c r="H468" i="17"/>
  <c r="E468" i="17"/>
  <c r="E461" i="16"/>
  <c r="H461" i="16"/>
  <c r="J470" i="18" l="1"/>
  <c r="I470" i="18"/>
  <c r="C471" i="18" s="1"/>
  <c r="F470" i="18"/>
  <c r="G470" i="18" s="1"/>
  <c r="J468" i="17"/>
  <c r="I468" i="17"/>
  <c r="C469" i="17" s="1"/>
  <c r="F468" i="17"/>
  <c r="G468" i="17" s="1"/>
  <c r="F461" i="16"/>
  <c r="G461" i="16" s="1"/>
  <c r="I461" i="16"/>
  <c r="C462" i="16" s="1"/>
  <c r="J461" i="16"/>
  <c r="H471" i="18" l="1"/>
  <c r="E471" i="18"/>
  <c r="E469" i="17"/>
  <c r="H469" i="17"/>
  <c r="E462" i="16"/>
  <c r="H462" i="16"/>
  <c r="J471" i="18" l="1"/>
  <c r="I471" i="18"/>
  <c r="C472" i="18" s="1"/>
  <c r="F471" i="18"/>
  <c r="G471" i="18" s="1"/>
  <c r="F469" i="17"/>
  <c r="G469" i="17" s="1"/>
  <c r="I469" i="17"/>
  <c r="C470" i="17" s="1"/>
  <c r="J469" i="17"/>
  <c r="I462" i="16"/>
  <c r="C463" i="16" s="1"/>
  <c r="F462" i="16"/>
  <c r="G462" i="16" s="1"/>
  <c r="J462" i="16"/>
  <c r="H472" i="18" l="1"/>
  <c r="E472" i="18"/>
  <c r="H470" i="17"/>
  <c r="E470" i="17"/>
  <c r="E463" i="16"/>
  <c r="H463" i="16"/>
  <c r="J472" i="18" l="1"/>
  <c r="F472" i="18"/>
  <c r="G472" i="18" s="1"/>
  <c r="I472" i="18"/>
  <c r="C473" i="18" s="1"/>
  <c r="J470" i="17"/>
  <c r="I470" i="17"/>
  <c r="C471" i="17" s="1"/>
  <c r="F470" i="17"/>
  <c r="G470" i="17" s="1"/>
  <c r="F463" i="16"/>
  <c r="G463" i="16" s="1"/>
  <c r="I463" i="16"/>
  <c r="C464" i="16" s="1"/>
  <c r="J463" i="16"/>
  <c r="E473" i="18" l="1"/>
  <c r="H473" i="18"/>
  <c r="H471" i="17"/>
  <c r="E471" i="17"/>
  <c r="E464" i="16"/>
  <c r="H464" i="16"/>
  <c r="F473" i="18" l="1"/>
  <c r="G473" i="18" s="1"/>
  <c r="I473" i="18"/>
  <c r="C474" i="18" s="1"/>
  <c r="J473" i="18"/>
  <c r="J471" i="17"/>
  <c r="I471" i="17"/>
  <c r="C472" i="17" s="1"/>
  <c r="F471" i="17"/>
  <c r="G471" i="17" s="1"/>
  <c r="F464" i="16"/>
  <c r="G464" i="16" s="1"/>
  <c r="I464" i="16"/>
  <c r="C465" i="16" s="1"/>
  <c r="J464" i="16"/>
  <c r="E474" i="18" l="1"/>
  <c r="H474" i="18"/>
  <c r="E472" i="17"/>
  <c r="H472" i="17"/>
  <c r="E465" i="16"/>
  <c r="H465" i="16"/>
  <c r="F474" i="18" l="1"/>
  <c r="G474" i="18" s="1"/>
  <c r="I474" i="18"/>
  <c r="C475" i="18" s="1"/>
  <c r="J474" i="18"/>
  <c r="I472" i="17"/>
  <c r="C473" i="17" s="1"/>
  <c r="F472" i="17"/>
  <c r="G472" i="17" s="1"/>
  <c r="J472" i="17"/>
  <c r="F465" i="16"/>
  <c r="G465" i="16" s="1"/>
  <c r="I465" i="16"/>
  <c r="C466" i="16" s="1"/>
  <c r="J465" i="16"/>
  <c r="E475" i="18" l="1"/>
  <c r="H475" i="18"/>
  <c r="E473" i="17"/>
  <c r="H473" i="17"/>
  <c r="E466" i="16"/>
  <c r="H466" i="16"/>
  <c r="F475" i="18" l="1"/>
  <c r="G475" i="18" s="1"/>
  <c r="I475" i="18"/>
  <c r="C476" i="18" s="1"/>
  <c r="J475" i="18"/>
  <c r="I473" i="17"/>
  <c r="C474" i="17" s="1"/>
  <c r="F473" i="17"/>
  <c r="G473" i="17" s="1"/>
  <c r="J473" i="17"/>
  <c r="I466" i="16"/>
  <c r="C467" i="16" s="1"/>
  <c r="F466" i="16"/>
  <c r="G466" i="16" s="1"/>
  <c r="J466" i="16"/>
  <c r="H476" i="18" l="1"/>
  <c r="E476" i="18"/>
  <c r="H474" i="17"/>
  <c r="E474" i="17"/>
  <c r="E467" i="16"/>
  <c r="H467" i="16"/>
  <c r="J476" i="18" l="1"/>
  <c r="F476" i="18"/>
  <c r="G476" i="18" s="1"/>
  <c r="I476" i="18"/>
  <c r="C477" i="18" s="1"/>
  <c r="J474" i="17"/>
  <c r="F474" i="17"/>
  <c r="G474" i="17" s="1"/>
  <c r="I474" i="17"/>
  <c r="C475" i="17" s="1"/>
  <c r="F467" i="16"/>
  <c r="G467" i="16" s="1"/>
  <c r="I467" i="16"/>
  <c r="C468" i="16" s="1"/>
  <c r="J467" i="16"/>
  <c r="E477" i="18" l="1"/>
  <c r="H477" i="18"/>
  <c r="H475" i="17"/>
  <c r="E475" i="17"/>
  <c r="H468" i="16"/>
  <c r="E468" i="16"/>
  <c r="I477" i="18" l="1"/>
  <c r="C478" i="18" s="1"/>
  <c r="F477" i="18"/>
  <c r="G477" i="18" s="1"/>
  <c r="J477" i="18"/>
  <c r="J475" i="17"/>
  <c r="I475" i="17"/>
  <c r="C476" i="17" s="1"/>
  <c r="F475" i="17"/>
  <c r="G475" i="17" s="1"/>
  <c r="J468" i="16"/>
  <c r="I468" i="16"/>
  <c r="C469" i="16" s="1"/>
  <c r="F468" i="16"/>
  <c r="G468" i="16" s="1"/>
  <c r="E478" i="18" l="1"/>
  <c r="H478" i="18"/>
  <c r="E476" i="17"/>
  <c r="H476" i="17"/>
  <c r="E469" i="16"/>
  <c r="H469" i="16"/>
  <c r="F478" i="18" l="1"/>
  <c r="G478" i="18" s="1"/>
  <c r="I478" i="18"/>
  <c r="C479" i="18" s="1"/>
  <c r="J478" i="18"/>
  <c r="I476" i="17"/>
  <c r="C477" i="17" s="1"/>
  <c r="F476" i="17"/>
  <c r="G476" i="17" s="1"/>
  <c r="J476" i="17"/>
  <c r="F469" i="16"/>
  <c r="G469" i="16" s="1"/>
  <c r="I469" i="16"/>
  <c r="C470" i="16" s="1"/>
  <c r="J469" i="16"/>
  <c r="E479" i="18" l="1"/>
  <c r="H479" i="18"/>
  <c r="E477" i="17"/>
  <c r="H477" i="17"/>
  <c r="E470" i="16"/>
  <c r="H470" i="16"/>
  <c r="F479" i="18" l="1"/>
  <c r="G479" i="18" s="1"/>
  <c r="I479" i="18"/>
  <c r="C480" i="18" s="1"/>
  <c r="J479" i="18"/>
  <c r="I477" i="17"/>
  <c r="C478" i="17" s="1"/>
  <c r="F477" i="17"/>
  <c r="G477" i="17" s="1"/>
  <c r="J477" i="17"/>
  <c r="I470" i="16"/>
  <c r="C471" i="16" s="1"/>
  <c r="F470" i="16"/>
  <c r="G470" i="16" s="1"/>
  <c r="J470" i="16"/>
  <c r="E480" i="18" l="1"/>
  <c r="H480" i="18"/>
  <c r="E478" i="17"/>
  <c r="H478" i="17"/>
  <c r="E471" i="16"/>
  <c r="H471" i="16"/>
  <c r="F480" i="18" l="1"/>
  <c r="G480" i="18" s="1"/>
  <c r="I480" i="18"/>
  <c r="C481" i="18" s="1"/>
  <c r="J480" i="18"/>
  <c r="I478" i="17"/>
  <c r="C479" i="17" s="1"/>
  <c r="F478" i="17"/>
  <c r="G478" i="17" s="1"/>
  <c r="J478" i="17"/>
  <c r="I471" i="16"/>
  <c r="C472" i="16" s="1"/>
  <c r="F471" i="16"/>
  <c r="G471" i="16" s="1"/>
  <c r="J471" i="16"/>
  <c r="E481" i="18" l="1"/>
  <c r="H481" i="18"/>
  <c r="E479" i="17"/>
  <c r="H479" i="17"/>
  <c r="E472" i="16"/>
  <c r="H472" i="16"/>
  <c r="I481" i="18" l="1"/>
  <c r="C482" i="18" s="1"/>
  <c r="F481" i="18"/>
  <c r="G481" i="18" s="1"/>
  <c r="J481" i="18"/>
  <c r="F479" i="17"/>
  <c r="G479" i="17" s="1"/>
  <c r="I479" i="17"/>
  <c r="C480" i="17" s="1"/>
  <c r="J479" i="17"/>
  <c r="F472" i="16"/>
  <c r="G472" i="16" s="1"/>
  <c r="I472" i="16"/>
  <c r="C473" i="16" s="1"/>
  <c r="J472" i="16"/>
  <c r="H482" i="18" l="1"/>
  <c r="E482" i="18"/>
  <c r="E480" i="17"/>
  <c r="H480" i="17"/>
  <c r="E473" i="16"/>
  <c r="H473" i="16"/>
  <c r="J482" i="18" l="1"/>
  <c r="F482" i="18"/>
  <c r="G482" i="18" s="1"/>
  <c r="I482" i="18"/>
  <c r="C483" i="18" s="1"/>
  <c r="F480" i="17"/>
  <c r="G480" i="17" s="1"/>
  <c r="I480" i="17"/>
  <c r="C481" i="17" s="1"/>
  <c r="J480" i="17"/>
  <c r="I473" i="16"/>
  <c r="C474" i="16" s="1"/>
  <c r="F473" i="16"/>
  <c r="G473" i="16" s="1"/>
  <c r="J473" i="16"/>
  <c r="H483" i="18" l="1"/>
  <c r="E483" i="18"/>
  <c r="H481" i="17"/>
  <c r="E481" i="17"/>
  <c r="E474" i="16"/>
  <c r="H474" i="16"/>
  <c r="J483" i="18" l="1"/>
  <c r="I483" i="18"/>
  <c r="C484" i="18" s="1"/>
  <c r="F483" i="18"/>
  <c r="G483" i="18" s="1"/>
  <c r="J481" i="17"/>
  <c r="F481" i="17"/>
  <c r="G481" i="17" s="1"/>
  <c r="I481" i="17"/>
  <c r="C482" i="17" s="1"/>
  <c r="I474" i="16"/>
  <c r="C475" i="16" s="1"/>
  <c r="F474" i="16"/>
  <c r="G474" i="16" s="1"/>
  <c r="J474" i="16"/>
  <c r="E484" i="18" l="1"/>
  <c r="H484" i="18"/>
  <c r="H482" i="17"/>
  <c r="E482" i="17"/>
  <c r="E475" i="16"/>
  <c r="H475" i="16"/>
  <c r="F484" i="18" l="1"/>
  <c r="G484" i="18" s="1"/>
  <c r="I484" i="18"/>
  <c r="C485" i="18" s="1"/>
  <c r="J484" i="18"/>
  <c r="J482" i="17"/>
  <c r="I482" i="17"/>
  <c r="C483" i="17" s="1"/>
  <c r="F482" i="17"/>
  <c r="G482" i="17" s="1"/>
  <c r="F475" i="16"/>
  <c r="G475" i="16" s="1"/>
  <c r="I475" i="16"/>
  <c r="C476" i="16" s="1"/>
  <c r="J475" i="16"/>
  <c r="E485" i="18" l="1"/>
  <c r="H485" i="18"/>
  <c r="H483" i="17"/>
  <c r="E483" i="17"/>
  <c r="H476" i="16"/>
  <c r="E476" i="16"/>
  <c r="I485" i="18" l="1"/>
  <c r="C486" i="18" s="1"/>
  <c r="F485" i="18"/>
  <c r="G485" i="18" s="1"/>
  <c r="J485" i="18"/>
  <c r="J483" i="17"/>
  <c r="I483" i="17"/>
  <c r="C484" i="17" s="1"/>
  <c r="F483" i="17"/>
  <c r="G483" i="17" s="1"/>
  <c r="J476" i="16"/>
  <c r="I476" i="16"/>
  <c r="C477" i="16" s="1"/>
  <c r="F476" i="16"/>
  <c r="G476" i="16" s="1"/>
  <c r="E486" i="18" l="1"/>
  <c r="H486" i="18"/>
  <c r="E484" i="17"/>
  <c r="H484" i="17"/>
  <c r="E477" i="16"/>
  <c r="H477" i="16"/>
  <c r="F486" i="18" l="1"/>
  <c r="G486" i="18" s="1"/>
  <c r="I486" i="18"/>
  <c r="C487" i="18" s="1"/>
  <c r="J486" i="18"/>
  <c r="F484" i="17"/>
  <c r="G484" i="17" s="1"/>
  <c r="I484" i="17"/>
  <c r="C485" i="17" s="1"/>
  <c r="J484" i="17"/>
  <c r="F477" i="16"/>
  <c r="G477" i="16" s="1"/>
  <c r="I477" i="16"/>
  <c r="C478" i="16" s="1"/>
  <c r="J477" i="16"/>
  <c r="E487" i="18" l="1"/>
  <c r="H487" i="18"/>
  <c r="E485" i="17"/>
  <c r="H485" i="17"/>
  <c r="E478" i="16"/>
  <c r="H478" i="16"/>
  <c r="F487" i="18" l="1"/>
  <c r="G487" i="18" s="1"/>
  <c r="I487" i="18"/>
  <c r="C488" i="18" s="1"/>
  <c r="J487" i="18"/>
  <c r="I485" i="17"/>
  <c r="C486" i="17" s="1"/>
  <c r="F485" i="17"/>
  <c r="G485" i="17" s="1"/>
  <c r="J485" i="17"/>
  <c r="I478" i="16"/>
  <c r="C479" i="16" s="1"/>
  <c r="F478" i="16"/>
  <c r="G478" i="16" s="1"/>
  <c r="J478" i="16"/>
  <c r="E488" i="18" l="1"/>
  <c r="H488" i="18"/>
  <c r="H486" i="17"/>
  <c r="E486" i="17"/>
  <c r="E479" i="16"/>
  <c r="H479" i="16"/>
  <c r="I488" i="18" l="1"/>
  <c r="C489" i="18" s="1"/>
  <c r="F488" i="18"/>
  <c r="G488" i="18" s="1"/>
  <c r="J488" i="18"/>
  <c r="J486" i="17"/>
  <c r="F486" i="17"/>
  <c r="G486" i="17" s="1"/>
  <c r="I486" i="17"/>
  <c r="C487" i="17" s="1"/>
  <c r="I479" i="16"/>
  <c r="C480" i="16" s="1"/>
  <c r="F479" i="16"/>
  <c r="G479" i="16" s="1"/>
  <c r="J479" i="16"/>
  <c r="E489" i="18" l="1"/>
  <c r="H489" i="18"/>
  <c r="E487" i="17"/>
  <c r="H487" i="17"/>
  <c r="E480" i="16"/>
  <c r="H480" i="16"/>
  <c r="F489" i="18" l="1"/>
  <c r="G489" i="18" s="1"/>
  <c r="I489" i="18"/>
  <c r="C490" i="18" s="1"/>
  <c r="J489" i="18"/>
  <c r="F487" i="17"/>
  <c r="G487" i="17" s="1"/>
  <c r="I487" i="17"/>
  <c r="C488" i="17" s="1"/>
  <c r="J487" i="17"/>
  <c r="I480" i="16"/>
  <c r="C481" i="16" s="1"/>
  <c r="F480" i="16"/>
  <c r="G480" i="16" s="1"/>
  <c r="J480" i="16"/>
  <c r="E490" i="18" l="1"/>
  <c r="H490" i="18"/>
  <c r="E488" i="17"/>
  <c r="H488" i="17"/>
  <c r="E481" i="16"/>
  <c r="H481" i="16"/>
  <c r="I490" i="18" l="1"/>
  <c r="C491" i="18" s="1"/>
  <c r="F490" i="18"/>
  <c r="G490" i="18" s="1"/>
  <c r="J490" i="18"/>
  <c r="I488" i="17"/>
  <c r="C489" i="17" s="1"/>
  <c r="F488" i="17"/>
  <c r="G488" i="17" s="1"/>
  <c r="J488" i="17"/>
  <c r="F481" i="16"/>
  <c r="G481" i="16" s="1"/>
  <c r="I481" i="16"/>
  <c r="C482" i="16" s="1"/>
  <c r="J481" i="16"/>
  <c r="E491" i="18" l="1"/>
  <c r="H491" i="18"/>
  <c r="H489" i="17"/>
  <c r="E489" i="17"/>
  <c r="H482" i="16"/>
  <c r="E482" i="16"/>
  <c r="F491" i="18" l="1"/>
  <c r="G491" i="18" s="1"/>
  <c r="I491" i="18"/>
  <c r="C492" i="18" s="1"/>
  <c r="J491" i="18"/>
  <c r="J489" i="17"/>
  <c r="I489" i="17"/>
  <c r="C490" i="17" s="1"/>
  <c r="F489" i="17"/>
  <c r="G489" i="17" s="1"/>
  <c r="J482" i="16"/>
  <c r="F482" i="16"/>
  <c r="G482" i="16" s="1"/>
  <c r="I482" i="16"/>
  <c r="C483" i="16" s="1"/>
  <c r="E492" i="18" l="1"/>
  <c r="H492" i="18"/>
  <c r="H490" i="17"/>
  <c r="E490" i="17"/>
  <c r="E483" i="16"/>
  <c r="H483" i="16"/>
  <c r="F492" i="18" l="1"/>
  <c r="G492" i="18" s="1"/>
  <c r="I492" i="18"/>
  <c r="C493" i="18" s="1"/>
  <c r="J492" i="18"/>
  <c r="J490" i="17"/>
  <c r="F490" i="17"/>
  <c r="G490" i="17" s="1"/>
  <c r="I490" i="17"/>
  <c r="C491" i="17" s="1"/>
  <c r="I483" i="16"/>
  <c r="C484" i="16" s="1"/>
  <c r="F483" i="16"/>
  <c r="G483" i="16" s="1"/>
  <c r="J483" i="16"/>
  <c r="E493" i="18" l="1"/>
  <c r="H493" i="18"/>
  <c r="H491" i="17"/>
  <c r="E491" i="17"/>
  <c r="E484" i="16"/>
  <c r="H484" i="16"/>
  <c r="F493" i="18" l="1"/>
  <c r="G493" i="18" s="1"/>
  <c r="I493" i="18"/>
  <c r="C494" i="18" s="1"/>
  <c r="J493" i="18"/>
  <c r="J491" i="17"/>
  <c r="F491" i="17"/>
  <c r="G491" i="17" s="1"/>
  <c r="I491" i="17"/>
  <c r="C492" i="17" s="1"/>
  <c r="F484" i="16"/>
  <c r="G484" i="16" s="1"/>
  <c r="I484" i="16"/>
  <c r="C485" i="16" s="1"/>
  <c r="J484" i="16"/>
  <c r="E494" i="18" l="1"/>
  <c r="H494" i="18"/>
  <c r="E492" i="17"/>
  <c r="H492" i="17"/>
  <c r="E485" i="16"/>
  <c r="H485" i="16"/>
  <c r="F494" i="18" l="1"/>
  <c r="G494" i="18" s="1"/>
  <c r="I494" i="18"/>
  <c r="C495" i="18" s="1"/>
  <c r="J494" i="18"/>
  <c r="F492" i="17"/>
  <c r="G492" i="17" s="1"/>
  <c r="I492" i="17"/>
  <c r="C493" i="17" s="1"/>
  <c r="J492" i="17"/>
  <c r="F485" i="16"/>
  <c r="G485" i="16" s="1"/>
  <c r="I485" i="16"/>
  <c r="C486" i="16" s="1"/>
  <c r="J485" i="16"/>
  <c r="E495" i="18" l="1"/>
  <c r="H495" i="18"/>
  <c r="H493" i="17"/>
  <c r="E493" i="17"/>
  <c r="E486" i="16"/>
  <c r="H486" i="16"/>
  <c r="I495" i="18" l="1"/>
  <c r="C496" i="18" s="1"/>
  <c r="F495" i="18"/>
  <c r="G495" i="18" s="1"/>
  <c r="J495" i="18"/>
  <c r="J493" i="17"/>
  <c r="I493" i="17"/>
  <c r="C494" i="17" s="1"/>
  <c r="F493" i="17"/>
  <c r="G493" i="17" s="1"/>
  <c r="F486" i="16"/>
  <c r="G486" i="16" s="1"/>
  <c r="I486" i="16"/>
  <c r="C487" i="16" s="1"/>
  <c r="J486" i="16"/>
  <c r="H496" i="18" l="1"/>
  <c r="E496" i="18"/>
  <c r="E494" i="17"/>
  <c r="H494" i="17"/>
  <c r="E487" i="16"/>
  <c r="H487" i="16"/>
  <c r="J496" i="18" l="1"/>
  <c r="I496" i="18"/>
  <c r="C497" i="18" s="1"/>
  <c r="F496" i="18"/>
  <c r="G496" i="18" s="1"/>
  <c r="I494" i="17"/>
  <c r="C495" i="17" s="1"/>
  <c r="F494" i="17"/>
  <c r="G494" i="17" s="1"/>
  <c r="J494" i="17"/>
  <c r="I487" i="16"/>
  <c r="C488" i="16" s="1"/>
  <c r="F487" i="16"/>
  <c r="G487" i="16" s="1"/>
  <c r="J487" i="16"/>
  <c r="E497" i="18" l="1"/>
  <c r="H497" i="18"/>
  <c r="J497" i="18" s="1"/>
  <c r="J8" i="18"/>
  <c r="J9" i="18"/>
  <c r="E495" i="17"/>
  <c r="H495" i="17"/>
  <c r="J495" i="17" s="1"/>
  <c r="E488" i="16"/>
  <c r="H488" i="16"/>
  <c r="F497" i="18" l="1"/>
  <c r="G497" i="18" s="1"/>
  <c r="I497" i="18"/>
  <c r="J7" i="18" s="1"/>
  <c r="I495" i="17"/>
  <c r="C496" i="17" s="1"/>
  <c r="F495" i="17"/>
  <c r="G495" i="17" s="1"/>
  <c r="F488" i="16"/>
  <c r="G488" i="16" s="1"/>
  <c r="I488" i="16"/>
  <c r="C489" i="16" s="1"/>
  <c r="J488" i="16"/>
  <c r="E496" i="17" l="1"/>
  <c r="H496" i="17"/>
  <c r="J496" i="17" s="1"/>
  <c r="H489" i="16"/>
  <c r="E489" i="16"/>
  <c r="I496" i="17" l="1"/>
  <c r="C497" i="17" s="1"/>
  <c r="F496" i="17"/>
  <c r="G496" i="17" s="1"/>
  <c r="J489" i="16"/>
  <c r="F489" i="16"/>
  <c r="G489" i="16" s="1"/>
  <c r="I489" i="16"/>
  <c r="C490" i="16" s="1"/>
  <c r="J8" i="17" l="1"/>
  <c r="J9" i="17"/>
  <c r="E497" i="17"/>
  <c r="H497" i="17"/>
  <c r="J497" i="17" s="1"/>
  <c r="E490" i="16"/>
  <c r="H490" i="16"/>
  <c r="I497" i="17" l="1"/>
  <c r="J7" i="17" s="1"/>
  <c r="F497" i="17"/>
  <c r="G497" i="17" s="1"/>
  <c r="F490" i="16"/>
  <c r="G490" i="16" s="1"/>
  <c r="I490" i="16"/>
  <c r="C491" i="16" s="1"/>
  <c r="J490" i="16"/>
  <c r="E491" i="16" l="1"/>
  <c r="H491" i="16"/>
  <c r="I491" i="16" l="1"/>
  <c r="C492" i="16" s="1"/>
  <c r="F491" i="16"/>
  <c r="G491" i="16" s="1"/>
  <c r="J491" i="16"/>
  <c r="E492" i="16" l="1"/>
  <c r="H492" i="16"/>
  <c r="F492" i="16" l="1"/>
  <c r="G492" i="16" s="1"/>
  <c r="I492" i="16"/>
  <c r="C493" i="16" s="1"/>
  <c r="J492" i="16"/>
  <c r="H493" i="16" l="1"/>
  <c r="E493" i="16"/>
  <c r="J493" i="16" l="1"/>
  <c r="F493" i="16"/>
  <c r="G493" i="16" s="1"/>
  <c r="I493" i="16"/>
  <c r="C494" i="16" s="1"/>
  <c r="E494" i="16" l="1"/>
  <c r="H494" i="16"/>
  <c r="F494" i="16" l="1"/>
  <c r="G494" i="16" s="1"/>
  <c r="I494" i="16"/>
  <c r="C495" i="16" s="1"/>
  <c r="J494" i="16"/>
  <c r="E495" i="16" l="1"/>
  <c r="H495" i="16"/>
  <c r="F495" i="16" l="1"/>
  <c r="G495" i="16" s="1"/>
  <c r="I495" i="16"/>
  <c r="C496" i="16" s="1"/>
  <c r="J495" i="16"/>
  <c r="E496" i="16" l="1"/>
  <c r="H496" i="16"/>
  <c r="F496" i="16" l="1"/>
  <c r="G496" i="16" s="1"/>
  <c r="I496" i="16"/>
  <c r="C497" i="16" s="1"/>
  <c r="J496" i="16"/>
  <c r="E497" i="16" l="1"/>
  <c r="J8" i="16"/>
  <c r="J9" i="16"/>
  <c r="H497" i="16"/>
  <c r="J497" i="16" s="1"/>
  <c r="F497" i="16" l="1"/>
  <c r="G497" i="16" s="1"/>
  <c r="I497" i="16"/>
  <c r="J7" i="1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6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</futureMetadata>
  <cellMetadata count="1">
    <bk>
      <rc t="1" v="0"/>
    </bk>
  </cellMetadata>
  <valueMetadata count="6">
    <bk>
      <rc t="2" v="0"/>
    </bk>
    <bk>
      <rc t="2" v="1"/>
    </bk>
    <bk>
      <rc t="2" v="2"/>
    </bk>
    <bk>
      <rc t="2" v="3"/>
    </bk>
    <bk>
      <rc t="2" v="4"/>
    </bk>
    <bk>
      <rc t="2" v="5"/>
    </bk>
  </valueMetadata>
</metadata>
</file>

<file path=xl/sharedStrings.xml><?xml version="1.0" encoding="utf-8"?>
<sst xmlns="http://schemas.openxmlformats.org/spreadsheetml/2006/main" count="1810" uniqueCount="1071">
  <si>
    <t>Cooperative Excel Training Workbook</t>
  </si>
  <si>
    <t>Workbook Purpose and Learning Path</t>
  </si>
  <si>
    <t>Topic</t>
  </si>
  <si>
    <t>Explanation</t>
  </si>
  <si>
    <t>Purpose</t>
  </si>
  <si>
    <t>Teach Excel step by step using realistic cooperative examples such as members, savings, loans, collections, overdue tracking, and branch reporting.</t>
  </si>
  <si>
    <t>Audience</t>
  </si>
  <si>
    <t>Beginner, intermediate, and selected advanced users; also useful for classroom trainers.</t>
  </si>
  <si>
    <t>How to Use</t>
  </si>
  <si>
    <t>Read the dataset first, review the visible formula, compare the expected result, and then change sample values to observe the effect.</t>
  </si>
  <si>
    <t>Learning Path</t>
  </si>
  <si>
    <t>Start Here → Basic Skills → Math &amp; Stats → Logical → Text → Date &amp; Time → Lookup &amp; Ref → Conditional Calc → Financial → Advanced 365 → Error Guide → Pivot Practice → Exercises.</t>
  </si>
  <si>
    <t>Version Note</t>
  </si>
  <si>
    <t>Functions such as FILTER, SORT, UNIQUE, LET, LAMBDA, MAP, SCAN, BYROW, BYCOL, and REDUCE require Excel 365 or newer. Older versions may show #NAME?.</t>
  </si>
  <si>
    <t>Tip</t>
  </si>
  <si>
    <t>Yellow cells are inputs, green cells are result/output areas, and Level tags show Beginner / Intermediate / Advanced.</t>
  </si>
  <si>
    <t>Difficulty Legend</t>
  </si>
  <si>
    <t>Level</t>
  </si>
  <si>
    <t>Meaning</t>
  </si>
  <si>
    <t>Beginner</t>
  </si>
  <si>
    <t>Daily-use basics and first formulas</t>
  </si>
  <si>
    <t>Intermediate</t>
  </si>
  <si>
    <t>Regular office-level formulas and multi-condition logic</t>
  </si>
  <si>
    <t>Advanced</t>
  </si>
  <si>
    <t>Modern Excel / Excel 365 formulas and analytical patterns</t>
  </si>
  <si>
    <t>Trainer Tip: Encourage learners to edit one value in each sample dataset and explain why the result changed.</t>
  </si>
  <si>
    <t>Basic Excel Skills</t>
  </si>
  <si>
    <t>Sample Transaction Entry Dataset</t>
  </si>
  <si>
    <t>Member ID</t>
  </si>
  <si>
    <t>Branch</t>
  </si>
  <si>
    <t>Product</t>
  </si>
  <si>
    <t>Amount</t>
  </si>
  <si>
    <t>Rate %</t>
  </si>
  <si>
    <t>Status</t>
  </si>
  <si>
    <t>M001</t>
  </si>
  <si>
    <t>Central</t>
  </si>
  <si>
    <t>Loan</t>
  </si>
  <si>
    <t>Pending</t>
  </si>
  <si>
    <t>M002</t>
  </si>
  <si>
    <t>North</t>
  </si>
  <si>
    <t>Savings</t>
  </si>
  <si>
    <t>Posted</t>
  </si>
  <si>
    <t>M003</t>
  </si>
  <si>
    <t>East</t>
  </si>
  <si>
    <t>Deposit</t>
  </si>
  <si>
    <t>M004</t>
  </si>
  <si>
    <t>M005</t>
  </si>
  <si>
    <t>West</t>
  </si>
  <si>
    <t>Mini Skills and Examples</t>
  </si>
  <si>
    <t>Skill</t>
  </si>
  <si>
    <t>Input/Area</t>
  </si>
  <si>
    <t>What to Do</t>
  </si>
  <si>
    <t>Visible Formula</t>
  </si>
  <si>
    <t>Live Result</t>
  </si>
  <si>
    <t>Expected / Teaching Point</t>
  </si>
  <si>
    <t>Common Mistake</t>
  </si>
  <si>
    <t>Office Use Case</t>
  </si>
  <si>
    <t>Trainer Note</t>
  </si>
  <si>
    <t>Relative reference</t>
  </si>
  <si>
    <t>G5:G9</t>
  </si>
  <si>
    <t>Multiply Amount by Rate using relative references</t>
  </si>
  <si>
    <t>'=D5*E5</t>
  </si>
  <si>
    <t>180 at row 5</t>
  </si>
  <si>
    <t>Copying changes row references automatically</t>
  </si>
  <si>
    <t>Using $ accidentally</t>
  </si>
  <si>
    <t>Interest/charge calculation</t>
  </si>
  <si>
    <t>Let learners drag the formula down and observe row changes</t>
  </si>
  <si>
    <t>Absolute reference</t>
  </si>
  <si>
    <t>F4 + G5:G9</t>
  </si>
  <si>
    <t>Use one common fee rate and lock it</t>
  </si>
  <si>
    <t>'=D5*$I$4</t>
  </si>
  <si>
    <t>If I4 = 13%, row 5 = 1560</t>
  </si>
  <si>
    <t>Forgetting $ when copying formulas</t>
  </si>
  <si>
    <t>Common administration fee</t>
  </si>
  <si>
    <t>Show difference between I4, $I$4, I$4, and $I4</t>
  </si>
  <si>
    <t>Mixed reference</t>
  </si>
  <si>
    <t>J5:J9</t>
  </si>
  <si>
    <t>Demonstrate mixed references</t>
  </si>
  <si>
    <t>'=D5*$I4</t>
  </si>
  <si>
    <t>Uses fixed column I with changing row</t>
  </si>
  <si>
    <t>Confusing mixed with absolute reference</t>
  </si>
  <si>
    <t>Template building</t>
  </si>
  <si>
    <t>Explain $I4 vs I$4</t>
  </si>
  <si>
    <t>Autofill</t>
  </si>
  <si>
    <t>A5:A9</t>
  </si>
  <si>
    <t>Drag handles to continue patterns</t>
  </si>
  <si>
    <t>Copies formula or series quickly</t>
  </si>
  <si>
    <t>Dragging values without checking references</t>
  </si>
  <si>
    <t>Fast data entry</t>
  </si>
  <si>
    <t>Demonstrate fill series with dates</t>
  </si>
  <si>
    <t>Format as table</t>
  </si>
  <si>
    <t>A4:F9</t>
  </si>
  <si>
    <t>Use Insert &gt; Table</t>
  </si>
  <si>
    <t>Adds filters and structured references</t>
  </si>
  <si>
    <t>Forgetting headers</t>
  </si>
  <si>
    <t>Daily work lists</t>
  </si>
  <si>
    <t>Explain filters and banded rows</t>
  </si>
  <si>
    <t>Sort and filter</t>
  </si>
  <si>
    <t>Sort by Amount and filter Pending</t>
  </si>
  <si>
    <t>Useful for review lists</t>
  </si>
  <si>
    <t>Sorting one column only</t>
  </si>
  <si>
    <t>Pending collection list</t>
  </si>
  <si>
    <t>Show how to clear filters</t>
  </si>
  <si>
    <t>Data validation</t>
  </si>
  <si>
    <t>F5:F9</t>
  </si>
  <si>
    <t>Use drop-down for Status</t>
  </si>
  <si>
    <t>Prevents inconsistent spellings</t>
  </si>
  <si>
    <t>Manual typing not matching allowed values</t>
  </si>
  <si>
    <t>Approval/review status entry</t>
  </si>
  <si>
    <t>Show invalid-entry alert</t>
  </si>
  <si>
    <t>Basic Skills Tip: Convert ranges to Tables before analysis whenever possible. Tables make sorting, filtering, and formulas easier to manage.</t>
  </si>
  <si>
    <t>Math and Statistical Formulas</t>
  </si>
  <si>
    <t>Sample Daily Collection Dataset</t>
  </si>
  <si>
    <t>Officer</t>
  </si>
  <si>
    <t>Account Count</t>
  </si>
  <si>
    <t>Collection Amount</t>
  </si>
  <si>
    <t>Asha</t>
  </si>
  <si>
    <t>Bikash</t>
  </si>
  <si>
    <t>Chandra</t>
  </si>
  <si>
    <t>Deepa</t>
  </si>
  <si>
    <t>Esha</t>
  </si>
  <si>
    <t>Category</t>
  </si>
  <si>
    <t>Formula</t>
  </si>
  <si>
    <t>Syntax</t>
  </si>
  <si>
    <t>Example Formula (visible)</t>
  </si>
  <si>
    <t>Expected Result</t>
  </si>
  <si>
    <t>Plain-Language Explanation</t>
  </si>
  <si>
    <t>Cooperative Use Case</t>
  </si>
  <si>
    <t>Math &amp; Stats</t>
  </si>
  <si>
    <t>SUM</t>
  </si>
  <si>
    <t>Add values in a range</t>
  </si>
  <si>
    <t>SUM(range)</t>
  </si>
  <si>
    <t>'=SUM(D5:D9)</t>
  </si>
  <si>
    <t>7330</t>
  </si>
  <si>
    <t>Adds all collection amounts together.</t>
  </si>
  <si>
    <t>Total daily collection.</t>
  </si>
  <si>
    <t>Selecting the wrong range.</t>
  </si>
  <si>
    <t>AVERAGE</t>
  </si>
  <si>
    <t>Calculate mean value</t>
  </si>
  <si>
    <t>AVERAGE(range)</t>
  </si>
  <si>
    <t>'=AVERAGE(D5:D9)</t>
  </si>
  <si>
    <t>1466</t>
  </si>
  <si>
    <t>Returns the average collection amount.</t>
  </si>
  <si>
    <t>Average collection per officer.</t>
  </si>
  <si>
    <t>Including text instead of numbers.</t>
  </si>
  <si>
    <t>MIN</t>
  </si>
  <si>
    <t>Smallest value</t>
  </si>
  <si>
    <t>MIN(range)</t>
  </si>
  <si>
    <t>'=MIN(D5:D9)</t>
  </si>
  <si>
    <t>900</t>
  </si>
  <si>
    <t>Finds the lowest amount.</t>
  </si>
  <si>
    <t>Identify the smallest posted amount.</t>
  </si>
  <si>
    <t>Referencing the wrong column.</t>
  </si>
  <si>
    <t>MAX</t>
  </si>
  <si>
    <t>Largest value</t>
  </si>
  <si>
    <t>MAX(range)</t>
  </si>
  <si>
    <t>'=MAX(D5:D9)</t>
  </si>
  <si>
    <t>2400</t>
  </si>
  <si>
    <t>Finds the highest amount.</t>
  </si>
  <si>
    <t>Top collection amount.</t>
  </si>
  <si>
    <t>Confusing MAX with LARGE.</t>
  </si>
  <si>
    <t>COUNT</t>
  </si>
  <si>
    <t>Count numeric cells</t>
  </si>
  <si>
    <t>COUNT(range)</t>
  </si>
  <si>
    <t>'=COUNT(D5:D9)</t>
  </si>
  <si>
    <t>5</t>
  </si>
  <si>
    <t>Counts only numeric entries.</t>
  </si>
  <si>
    <t>Count rows with numeric amounts.</t>
  </si>
  <si>
    <t>Expecting it to count text.</t>
  </si>
  <si>
    <t>COUNTA</t>
  </si>
  <si>
    <t>Count non-blank cells</t>
  </si>
  <si>
    <t>COUNTA(range)</t>
  </si>
  <si>
    <t>'=COUNTA(B5:B9)</t>
  </si>
  <si>
    <t>Counts non-empty cells including text.</t>
  </si>
  <si>
    <t>Count listed officers.</t>
  </si>
  <si>
    <t>Using COUNT when counting names.</t>
  </si>
  <si>
    <t>ROUND</t>
  </si>
  <si>
    <t>Round to given digits</t>
  </si>
  <si>
    <t>ROUND(number,num_digits)</t>
  </si>
  <si>
    <t>'=ROUND(D5/C5,2)</t>
  </si>
  <si>
    <t>200</t>
  </si>
  <si>
    <t>Rounds amount per account to 2 decimals.</t>
  </si>
  <si>
    <t>Per-account average display.</t>
  </si>
  <si>
    <t>Wrong num_digits sign.</t>
  </si>
  <si>
    <t>ROUNDUP</t>
  </si>
  <si>
    <t>Always round up</t>
  </si>
  <si>
    <t>ROUNDUP(number,num_digits)</t>
  </si>
  <si>
    <t>'=ROUNDUP(D6/C6,0)</t>
  </si>
  <si>
    <t>210</t>
  </si>
  <si>
    <t>Always moves the value upward.</t>
  </si>
  <si>
    <t>Rounding charges upward.</t>
  </si>
  <si>
    <t>Using ROUND by mistake.</t>
  </si>
  <si>
    <t>ROUNDDOWN</t>
  </si>
  <si>
    <t>Always round down</t>
  </si>
  <si>
    <t>ROUNDDOWN(number,num_digits)</t>
  </si>
  <si>
    <t>'=ROUNDDOWN(D6/C6,0)</t>
  </si>
  <si>
    <t>Always moves the value downward.</t>
  </si>
  <si>
    <t>Conservative rounding policy.</t>
  </si>
  <si>
    <t>Assuming it follows normal rounding.</t>
  </si>
  <si>
    <t>LARGE</t>
  </si>
  <si>
    <t>Nth largest value</t>
  </si>
  <si>
    <t>LARGE(range,k)</t>
  </si>
  <si>
    <t>'=LARGE(D5:D9,2)</t>
  </si>
  <si>
    <t>1680</t>
  </si>
  <si>
    <t>Returns the second largest amount.</t>
  </si>
  <si>
    <t>Find the second-highest recovery.</t>
  </si>
  <si>
    <t>Wrong k value.</t>
  </si>
  <si>
    <t>SMALL</t>
  </si>
  <si>
    <t>Nth smallest value</t>
  </si>
  <si>
    <t>SMALL(range,k)</t>
  </si>
  <si>
    <t>'=SMALL(D5:D9,2)</t>
  </si>
  <si>
    <t>1100</t>
  </si>
  <si>
    <t>Returns the second smallest amount.</t>
  </si>
  <si>
    <t>Review lower-performing records.</t>
  </si>
  <si>
    <t>Using 0 as k.</t>
  </si>
  <si>
    <t>MEDIAN</t>
  </si>
  <si>
    <t>Middle value</t>
  </si>
  <si>
    <t>MEDIAN(range)</t>
  </si>
  <si>
    <t>'=MEDIAN(D5:D9)</t>
  </si>
  <si>
    <t>1250</t>
  </si>
  <si>
    <t>Gives the middle amount after sorting.</t>
  </si>
  <si>
    <t>Central tendency not affected by extremes.</t>
  </si>
  <si>
    <t>Confusing with average.</t>
  </si>
  <si>
    <t>RANK.EQ</t>
  </si>
  <si>
    <t>Position in a list</t>
  </si>
  <si>
    <t>RANK.EQ(number,ref,[order])</t>
  </si>
  <si>
    <t>'=RANK.EQ(D5,D5:D9)</t>
  </si>
  <si>
    <t>1</t>
  </si>
  <si>
    <t>Ranks the first amount among all amounts.</t>
  </si>
  <si>
    <t>Rank branch recovery.</t>
  </si>
  <si>
    <t>Not deciding ascending vs descending.</t>
  </si>
  <si>
    <t>SUBTOTAL</t>
  </si>
  <si>
    <t>Aggregate visible rows only</t>
  </si>
  <si>
    <t>SUBTOTAL(function_num,ref1)</t>
  </si>
  <si>
    <t>'=SUBTOTAL(9,D5:D9)</t>
  </si>
  <si>
    <t>7330 (or visible-row total after filtering)</t>
  </si>
  <si>
    <t>Adds only visible rows when filters are used.</t>
  </si>
  <si>
    <t>Filtered daily review.</t>
  </si>
  <si>
    <t>Using SUM when filtered subtotal is needed.</t>
  </si>
  <si>
    <t>Logical Formulas</t>
  </si>
  <si>
    <t>Sample Loan Monitoring Dataset</t>
  </si>
  <si>
    <t>Outstanding Balance</t>
  </si>
  <si>
    <t>Days Past Due</t>
  </si>
  <si>
    <t>Approval Status</t>
  </si>
  <si>
    <t>Approved</t>
  </si>
  <si>
    <t>Closed</t>
  </si>
  <si>
    <t>Logical</t>
  </si>
  <si>
    <t>IF</t>
  </si>
  <si>
    <t>Return one result if true and another if false</t>
  </si>
  <si>
    <t>IF(test,value_if_true,value_if_false)</t>
  </si>
  <si>
    <t>'=IF(B6=0,"Closed","Active")</t>
  </si>
  <si>
    <t>If balance is zero, show Closed; otherwise Active.</t>
  </si>
  <si>
    <t>Account status label.</t>
  </si>
  <si>
    <t>Forgetting quotes around text.</t>
  </si>
  <si>
    <t>Threshold check</t>
  </si>
  <si>
    <t>'=IF(C5&gt;30,"Late","On Time")</t>
  </si>
  <si>
    <t>On Time</t>
  </si>
  <si>
    <t>Checks whether days past due exceeds 30.</t>
  </si>
  <si>
    <t>Delinquency monitoring.</t>
  </si>
  <si>
    <t>Using text numbers instead of numeric values.</t>
  </si>
  <si>
    <t>IFS</t>
  </si>
  <si>
    <t>Multiple condition evaluation</t>
  </si>
  <si>
    <t>IFS(test1,result1,test2,result2,...)</t>
  </si>
  <si>
    <t>'=IFS(C5=0,"Current",C5&lt;=30,"Watch",C5&lt;=60,"Late",TRUE,"Critical")</t>
  </si>
  <si>
    <t>Watch</t>
  </si>
  <si>
    <t>Evaluates overdue bands in order.</t>
  </si>
  <si>
    <t>Risk category by DPD bucket.</t>
  </si>
  <si>
    <t>Wrong order of conditions.</t>
  </si>
  <si>
    <t>AND</t>
  </si>
  <si>
    <t>TRUE when all conditions are TRUE</t>
  </si>
  <si>
    <t>AND(condition1,condition2,...)</t>
  </si>
  <si>
    <t>'=AND(B8&gt;0,C8&gt;30)</t>
  </si>
  <si>
    <t>TRUE</t>
  </si>
  <si>
    <t>Needs balance &gt; 0 and overdue &gt; 30.</t>
  </si>
  <si>
    <t>Priority follow-up flag.</t>
  </si>
  <si>
    <t>Using AND when OR is needed.</t>
  </si>
  <si>
    <t>OR</t>
  </si>
  <si>
    <t>TRUE when any condition is TRUE</t>
  </si>
  <si>
    <t>OR(condition1,condition2,...)</t>
  </si>
  <si>
    <t>'=OR(B6&gt;0,C6&gt;0)</t>
  </si>
  <si>
    <t>FALSE</t>
  </si>
  <si>
    <t>Returns TRUE if either condition exists.</t>
  </si>
  <si>
    <t>Review any account with an issue.</t>
  </si>
  <si>
    <t>Assuming OR requires all tests to be true.</t>
  </si>
  <si>
    <t>NOT</t>
  </si>
  <si>
    <t>Reverse TRUE/FALSE</t>
  </si>
  <si>
    <t>NOT(logical)</t>
  </si>
  <si>
    <t>'=NOT(D6="Approved")</t>
  </si>
  <si>
    <t>Returns TRUE because the status is not Approved.</t>
  </si>
  <si>
    <t>Filter non-approved cases.</t>
  </si>
  <si>
    <t>Using NOT with non-logical text.</t>
  </si>
  <si>
    <t>IFERROR</t>
  </si>
  <si>
    <t>Handle any error gracefully</t>
  </si>
  <si>
    <t>IFERROR(value,value_if_error)</t>
  </si>
  <si>
    <t>'=IFERROR(B6/C6,0)</t>
  </si>
  <si>
    <t>0</t>
  </si>
  <si>
    <t>If division fails, return 0 instead of an error.</t>
  </si>
  <si>
    <t>Avoid divide-by-zero in reports.</t>
  </si>
  <si>
    <t>Hiding important errors without checking cause.</t>
  </si>
  <si>
    <t>IFNA</t>
  </si>
  <si>
    <t>Handle only #N/A errors</t>
  </si>
  <si>
    <t>IFNA(value,value_if_na)</t>
  </si>
  <si>
    <t>'=IFNA(VLOOKUP("M999",A5:B9,2,FALSE),"Not Found")</t>
  </si>
  <si>
    <t>Not Found</t>
  </si>
  <si>
    <t>Replaces missing-lookup error only.</t>
  </si>
  <si>
    <t>Member lookup screens.</t>
  </si>
  <si>
    <t>Using IFERROR when only #N/A should be trapped.</t>
  </si>
  <si>
    <t>Nested IF</t>
  </si>
  <si>
    <t>Layer several IF checks</t>
  </si>
  <si>
    <t>IF(test1,result1,IF(test2,result2,...))</t>
  </si>
  <si>
    <t>'=IF(C9&gt;60,"Critical",IF(C9&gt;30,"Late",IF(C9&gt;0,"Watch","Current")))</t>
  </si>
  <si>
    <t>Creates a multi-level risk label.</t>
  </si>
  <si>
    <t>Older Excel risk categorization.</t>
  </si>
  <si>
    <t>Parentheses mismatch.</t>
  </si>
  <si>
    <t>Text Formulas</t>
  </si>
  <si>
    <t>Sample Member Master Dataset</t>
  </si>
  <si>
    <t>Full Name</t>
  </si>
  <si>
    <t>Phone</t>
  </si>
  <si>
    <t>Account Code</t>
  </si>
  <si>
    <t>Raw Text</t>
  </si>
  <si>
    <t>sita devi</t>
  </si>
  <si>
    <t>9841000001</t>
  </si>
  <si>
    <t>SAV-CTR-001</t>
  </si>
  <si>
    <t xml:space="preserve">  central branch  </t>
  </si>
  <si>
    <t>ram KUMAR</t>
  </si>
  <si>
    <t>9802000002</t>
  </si>
  <si>
    <t>LN-NTH-014</t>
  </si>
  <si>
    <t>north  office</t>
  </si>
  <si>
    <t>Mina Shrestha</t>
  </si>
  <si>
    <t>9813000003</t>
  </si>
  <si>
    <t>FD-EST-020</t>
  </si>
  <si>
    <t>Hari  Prasad</t>
  </si>
  <si>
    <t>9824000004</t>
  </si>
  <si>
    <t>SHR-WST-101</t>
  </si>
  <si>
    <t>head OFFICE</t>
  </si>
  <si>
    <t>Kiran</t>
  </si>
  <si>
    <t>9855000005</t>
  </si>
  <si>
    <t>SAV-CTR-222</t>
  </si>
  <si>
    <t xml:space="preserve"> field team </t>
  </si>
  <si>
    <t>Text</t>
  </si>
  <si>
    <t>LEFT</t>
  </si>
  <si>
    <t>Take text from the left</t>
  </si>
  <si>
    <t>LEFT(text,num_chars)</t>
  </si>
  <si>
    <t>'=LEFT(C5,3)</t>
  </si>
  <si>
    <t>SAV</t>
  </si>
  <si>
    <t>Returns the first 3 characters.</t>
  </si>
  <si>
    <t>Extract product code.</t>
  </si>
  <si>
    <t>Wrong character count.</t>
  </si>
  <si>
    <t>RIGHT</t>
  </si>
  <si>
    <t>Take text from the right</t>
  </si>
  <si>
    <t>RIGHT(text,num_chars)</t>
  </si>
  <si>
    <t>'=RIGHT(C5,3)</t>
  </si>
  <si>
    <t>001</t>
  </si>
  <si>
    <t>Returns the last 3 characters.</t>
  </si>
  <si>
    <t>Extract serial number.</t>
  </si>
  <si>
    <t>Counting from the wrong side.</t>
  </si>
  <si>
    <t>MID</t>
  </si>
  <si>
    <t>Extract text from the middle</t>
  </si>
  <si>
    <t>MID(text,start_num,num_chars)</t>
  </si>
  <si>
    <t>'=MID(C6,4,3)</t>
  </si>
  <si>
    <t>NTH</t>
  </si>
  <si>
    <t>Extracts the branch code from the account code.</t>
  </si>
  <si>
    <t>Branch identification from code.</t>
  </si>
  <si>
    <t>Incorrect start position.</t>
  </si>
  <si>
    <t>LEN</t>
  </si>
  <si>
    <t>Count characters</t>
  </si>
  <si>
    <t>LEN(text)</t>
  </si>
  <si>
    <t>'=LEN(C5)</t>
  </si>
  <si>
    <t>11</t>
  </si>
  <si>
    <t>Counts all characters in the account code.</t>
  </si>
  <si>
    <t>Validate code length.</t>
  </si>
  <si>
    <t>Expecting it to ignore symbols.</t>
  </si>
  <si>
    <t>TRIM</t>
  </si>
  <si>
    <t>Remove extra spaces</t>
  </si>
  <si>
    <t>TRIM(text)</t>
  </si>
  <si>
    <t>'=TRIM(D5)</t>
  </si>
  <si>
    <t>central branch</t>
  </si>
  <si>
    <t>Removes leading, trailing, and repeated internal spaces.</t>
  </si>
  <si>
    <t>Clean imported text.</t>
  </si>
  <si>
    <t>Expecting it to remove all spaces.</t>
  </si>
  <si>
    <t>UPPER</t>
  </si>
  <si>
    <t>Convert to uppercase</t>
  </si>
  <si>
    <t>UPPER(text)</t>
  </si>
  <si>
    <t>'=UPPER(D6)</t>
  </si>
  <si>
    <t>NORTH OFFICE</t>
  </si>
  <si>
    <t>Changes all letters to uppercase.</t>
  </si>
  <si>
    <t>Standardize office names.</t>
  </si>
  <si>
    <t>Forgetting it keeps non-text characters.</t>
  </si>
  <si>
    <t>LOWER</t>
  </si>
  <si>
    <t>Convert to lowercase</t>
  </si>
  <si>
    <t>LOWER(text)</t>
  </si>
  <si>
    <t>'=LOWER(D8)</t>
  </si>
  <si>
    <t>head office</t>
  </si>
  <si>
    <t>Changes all letters to lowercase.</t>
  </si>
  <si>
    <t>Normalize imported text.</t>
  </si>
  <si>
    <t>Applying to numbers expecting a change.</t>
  </si>
  <si>
    <t>PROPER</t>
  </si>
  <si>
    <t>Capitalize each word</t>
  </si>
  <si>
    <t>PROPER(text)</t>
  </si>
  <si>
    <t>'=PROPER(A5)</t>
  </si>
  <si>
    <t>Sita Devi</t>
  </si>
  <si>
    <t>Capitalizes each word in a name.</t>
  </si>
  <si>
    <t>Clean member names.</t>
  </si>
  <si>
    <t>Assuming it understands all name exceptions.</t>
  </si>
  <si>
    <t>CONCAT</t>
  </si>
  <si>
    <t>Join text values</t>
  </si>
  <si>
    <t>CONCAT(text1,text2,...)</t>
  </si>
  <si>
    <t>'=CONCAT(C5,"-",B5)</t>
  </si>
  <si>
    <t>SAV-CTR-001-9841000001</t>
  </si>
  <si>
    <t>Combines code and phone.</t>
  </si>
  <si>
    <t>Create a combined reference key.</t>
  </si>
  <si>
    <t>Missing quotes around separators.</t>
  </si>
  <si>
    <t>TEXTJOIN</t>
  </si>
  <si>
    <t>Join values with delimiter</t>
  </si>
  <si>
    <t>TEXTJOIN(delimiter,ignore_empty,text1,...)</t>
  </si>
  <si>
    <t>'=TEXTJOIN(", ",TRUE,A5:A9)</t>
  </si>
  <si>
    <t>Comma-separated list of names</t>
  </si>
  <si>
    <t>Combines many cells with a delimiter.</t>
  </si>
  <si>
    <t>Quick name list.</t>
  </si>
  <si>
    <t>Setting ignore_empty incorrectly.</t>
  </si>
  <si>
    <t>SUBSTITUTE</t>
  </si>
  <si>
    <t>Replace old text with new text</t>
  </si>
  <si>
    <t>SUBSTITUTE(text,old_text,new_text,[instance])</t>
  </si>
  <si>
    <t>'=SUBSTITUTE(C5,"CTR","CENT")</t>
  </si>
  <si>
    <t>SAV-CENT-001</t>
  </si>
  <si>
    <t>Replaces a specific portion of text.</t>
  </si>
  <si>
    <t>Expand short branch codes.</t>
  </si>
  <si>
    <t>Confusing SUBSTITUTE with REPLACE.</t>
  </si>
  <si>
    <t>REPLACE</t>
  </si>
  <si>
    <t>Replace text by position</t>
  </si>
  <si>
    <t>REPLACE(old_text,start_num,num_chars,new_text)</t>
  </si>
  <si>
    <t>'=REPLACE(C5,5,3,"HEAD")</t>
  </si>
  <si>
    <t>SAV-HEAD-001</t>
  </si>
  <si>
    <t>Replaces characters by position.</t>
  </si>
  <si>
    <t>Change code section by position.</t>
  </si>
  <si>
    <t>Using wrong start/length.</t>
  </si>
  <si>
    <t>FIND</t>
  </si>
  <si>
    <t>Find case-sensitive position</t>
  </si>
  <si>
    <t>FIND(find_text,within_text,[start_num])</t>
  </si>
  <si>
    <t>'=FIND("CTR",C5)</t>
  </si>
  <si>
    <t>Returns starting position of CTR.</t>
  </si>
  <si>
    <t>Locate branch marker in a code.</t>
  </si>
  <si>
    <t>FIND is case-sensitive.</t>
  </si>
  <si>
    <t>SEARCH</t>
  </si>
  <si>
    <t>Find case-insensitive position</t>
  </si>
  <si>
    <t>SEARCH(find_text,within_text,[start_num])</t>
  </si>
  <si>
    <t>'=SEARCH("office",D8)</t>
  </si>
  <si>
    <t>6</t>
  </si>
  <si>
    <t>Returns the position regardless of case.</t>
  </si>
  <si>
    <t>Search keywords in text.</t>
  </si>
  <si>
    <t>Expecting exact-case behavior.</t>
  </si>
  <si>
    <t>TEXT</t>
  </si>
  <si>
    <t>Format a value as text</t>
  </si>
  <si>
    <t>TEXT(value,format_text)</t>
  </si>
  <si>
    <t>'=TEXT(B5,"0000000000")</t>
  </si>
  <si>
    <t>Displays a value with the chosen format.</t>
  </si>
  <si>
    <t>Phone/ID formatting.</t>
  </si>
  <si>
    <t>Using TEXT when numeric output is still needed.</t>
  </si>
  <si>
    <t>Date and Time Formulas</t>
  </si>
  <si>
    <t>Sample Loan / Deposit Date Dataset</t>
  </si>
  <si>
    <t>Join Date</t>
  </si>
  <si>
    <t>Maturity Date</t>
  </si>
  <si>
    <t>Last Payment Date</t>
  </si>
  <si>
    <t>Installment Number</t>
  </si>
  <si>
    <t>Date &amp; Time</t>
  </si>
  <si>
    <t>TODAY</t>
  </si>
  <si>
    <t>Return current date</t>
  </si>
  <si>
    <t>TODAY()</t>
  </si>
  <si>
    <t>'=TODAY()</t>
  </si>
  <si>
    <t>Current date</t>
  </si>
  <si>
    <t>Returns today’s date.</t>
  </si>
  <si>
    <t>Stamp report date.</t>
  </si>
  <si>
    <t>Expecting it to stay fixed forever.</t>
  </si>
  <si>
    <t>NOW</t>
  </si>
  <si>
    <t>Return current date and time</t>
  </si>
  <si>
    <t>NOW()</t>
  </si>
  <si>
    <t>'=NOW()</t>
  </si>
  <si>
    <t>Current date and time</t>
  </si>
  <si>
    <t>Returns the current date and time.</t>
  </si>
  <si>
    <t>Time-stamp an update.</t>
  </si>
  <si>
    <t>Not formatting as date/time.</t>
  </si>
  <si>
    <t>DATE</t>
  </si>
  <si>
    <t>Build a valid date</t>
  </si>
  <si>
    <t>DATE(year,month,day)</t>
  </si>
  <si>
    <t>'=DATE(2026,12,31)</t>
  </si>
  <si>
    <t>31-Dec-2026</t>
  </si>
  <si>
    <t>Creates a date from numerical parts.</t>
  </si>
  <si>
    <t>Build maturity dates.</t>
  </si>
  <si>
    <t>Entering month/day as text.</t>
  </si>
  <si>
    <t>YEAR</t>
  </si>
  <si>
    <t>Extract year</t>
  </si>
  <si>
    <t>YEAR(serial_number)</t>
  </si>
  <si>
    <t>'=YEAR(B5)</t>
  </si>
  <si>
    <t>2024</t>
  </si>
  <si>
    <t>Pulls the year from Join Date.</t>
  </si>
  <si>
    <t>Year-wise member analysis.</t>
  </si>
  <si>
    <t>Using text dates.</t>
  </si>
  <si>
    <t>MONTH</t>
  </si>
  <si>
    <t>Extract month number</t>
  </si>
  <si>
    <t>MONTH(serial_number)</t>
  </si>
  <si>
    <t>'=MONTH(D5)</t>
  </si>
  <si>
    <t>Returns the month number from Last Payment Date.</t>
  </si>
  <si>
    <t>Monthly collection grouping.</t>
  </si>
  <si>
    <t>Expecting month name instead of number.</t>
  </si>
  <si>
    <t>DAY</t>
  </si>
  <si>
    <t>Extract day of month</t>
  </si>
  <si>
    <t>DAY(serial_number)</t>
  </si>
  <si>
    <t>'=DAY(C5)</t>
  </si>
  <si>
    <t>15</t>
  </si>
  <si>
    <t>Returns the day value from Maturity Date.</t>
  </si>
  <si>
    <t>Installment schedule review.</t>
  </si>
  <si>
    <t>Using on non-date text.</t>
  </si>
  <si>
    <t>EDATE</t>
  </si>
  <si>
    <t>Shift date by whole months</t>
  </si>
  <si>
    <t>EDATE(start_date,months)</t>
  </si>
  <si>
    <t>'=EDATE(B5,12)</t>
  </si>
  <si>
    <t>15-Jan-2025</t>
  </si>
  <si>
    <t>Moves the date 12 months forward.</t>
  </si>
  <si>
    <t>Anniversary or maturity projection.</t>
  </si>
  <si>
    <t>Supplying text dates.</t>
  </si>
  <si>
    <t>EOMONTH</t>
  </si>
  <si>
    <t>Month-end date</t>
  </si>
  <si>
    <t>EOMONTH(start_date,months)</t>
  </si>
  <si>
    <t>'=EOMONTH(C5,0)</t>
  </si>
  <si>
    <t>31-Jan-2026</t>
  </si>
  <si>
    <t>Returns the month-end date.</t>
  </si>
  <si>
    <t>Month-end reporting.</t>
  </si>
  <si>
    <t>Confusing it with EDATE.</t>
  </si>
  <si>
    <t>DATEDIF</t>
  </si>
  <si>
    <t>Difference between two dates</t>
  </si>
  <si>
    <t>DATEDIF(start_date,end_date,unit)</t>
  </si>
  <si>
    <t>'=DATEDIF(B5,C5,"m")</t>
  </si>
  <si>
    <t>24</t>
  </si>
  <si>
    <t>Calculates complete months between two dates.</t>
  </si>
  <si>
    <t>Deposit/loan term length.</t>
  </si>
  <si>
    <t>Using end date earlier than start date.</t>
  </si>
  <si>
    <t>WORKDAY</t>
  </si>
  <si>
    <t>Move by working days only</t>
  </si>
  <si>
    <t>WORKDAY(start_date,days,[holidays])</t>
  </si>
  <si>
    <t>'=WORKDAY(D5,1)</t>
  </si>
  <si>
    <t>11-Jun-2026</t>
  </si>
  <si>
    <t>Returns the next working day after payment date.</t>
  </si>
  <si>
    <t>Follow-up scheduling.</t>
  </si>
  <si>
    <t>Expecting weekends to count.</t>
  </si>
  <si>
    <t>NETWORKDAYS</t>
  </si>
  <si>
    <t>Count working days between dates</t>
  </si>
  <si>
    <t>NETWORKDAYS(start_date,end_date,[holidays])</t>
  </si>
  <si>
    <t>'=NETWORKDAYS(B5,C5)</t>
  </si>
  <si>
    <t>Number of workdays between dates</t>
  </si>
  <si>
    <t>Counts workdays between Join Date and Maturity Date.</t>
  </si>
  <si>
    <t>Service-day calculations.</t>
  </si>
  <si>
    <t>Ignoring holiday list when needed.</t>
  </si>
  <si>
    <t>Lookup and Reference Formulas</t>
  </si>
  <si>
    <t>Sample Product / Scheme Master</t>
  </si>
  <si>
    <t>Code</t>
  </si>
  <si>
    <t>Product Name</t>
  </si>
  <si>
    <t>Term Months</t>
  </si>
  <si>
    <t>Type</t>
  </si>
  <si>
    <t>Field</t>
  </si>
  <si>
    <t>FD</t>
  </si>
  <si>
    <t>LN</t>
  </si>
  <si>
    <t>Fixed Deposit</t>
  </si>
  <si>
    <t>Credit</t>
  </si>
  <si>
    <t>SHR</t>
  </si>
  <si>
    <t>Share</t>
  </si>
  <si>
    <t>Equity</t>
  </si>
  <si>
    <t>Lookup Code</t>
  </si>
  <si>
    <t>INS</t>
  </si>
  <si>
    <t>Insurance</t>
  </si>
  <si>
    <t>Service</t>
  </si>
  <si>
    <t>Lookup &amp; Ref</t>
  </si>
  <si>
    <t>VLOOKUP</t>
  </si>
  <si>
    <t>Find a value vertically</t>
  </si>
  <si>
    <t>VLOOKUP(lookup_value,table_array,col_index_num,[range_lookup])</t>
  </si>
  <si>
    <t>'=VLOOKUP(I8,A5:E9,2,FALSE)</t>
  </si>
  <si>
    <t>Looks up code LN and returns Product Name.</t>
  </si>
  <si>
    <t>Product or member info retrieval.</t>
  </si>
  <si>
    <t>Wrong column index or missing FALSE.</t>
  </si>
  <si>
    <t>HLOOKUP</t>
  </si>
  <si>
    <t>Find a value horizontally</t>
  </si>
  <si>
    <t>HLOOKUP(lookup_value,table_array,row_index_num,[range_lookup])</t>
  </si>
  <si>
    <t>'=HLOOKUP(I8,I4:K6,2,FALSE)</t>
  </si>
  <si>
    <t>14.5</t>
  </si>
  <si>
    <t>Looks across top-row codes and returns the second row value.</t>
  </si>
  <si>
    <t>Horizontally arranged lookup tables.</t>
  </si>
  <si>
    <t>Trying to use HLOOKUP on vertical data.</t>
  </si>
  <si>
    <t>XLOOKUP</t>
  </si>
  <si>
    <t>Flexible modern lookup</t>
  </si>
  <si>
    <t>XLOOKUP(lookup_value,lookup_array,return_array,[if_not_found])</t>
  </si>
  <si>
    <t>'=XLOOKUP(I8,A5:A9,C5:C9,"Not Found")</t>
  </si>
  <si>
    <t>Looks up LN and returns Rate %.</t>
  </si>
  <si>
    <t>Modern replacement for VLOOKUP.</t>
  </si>
  <si>
    <t>Using in older Excel versions.</t>
  </si>
  <si>
    <t>INDEX</t>
  </si>
  <si>
    <t>Return value at row/column position</t>
  </si>
  <si>
    <t>INDEX(array,row_num,[column_num])</t>
  </si>
  <si>
    <t>'=INDEX(B5:B9,3)</t>
  </si>
  <si>
    <t>Returns the third product name.</t>
  </si>
  <si>
    <t>Controlled extraction from arrays.</t>
  </si>
  <si>
    <t>Wrong position number.</t>
  </si>
  <si>
    <t>MATCH</t>
  </si>
  <si>
    <t>Find position of a value</t>
  </si>
  <si>
    <t>MATCH(lookup_value,lookup_array,[match_type])</t>
  </si>
  <si>
    <t>'=MATCH(I8,A5:A9,0)</t>
  </si>
  <si>
    <t>3</t>
  </si>
  <si>
    <t>Returns position of LN in the code list.</t>
  </si>
  <si>
    <t>Position search for INDEX+MATCH.</t>
  </si>
  <si>
    <t>Using 1 instead of 0 for exact match.</t>
  </si>
  <si>
    <t>INDEX + MATCH</t>
  </si>
  <si>
    <t>Robust lookup combination</t>
  </si>
  <si>
    <t>INDEX(return_range,MATCH(lookup_value,lookup_range,0))</t>
  </si>
  <si>
    <t>'=INDEX(D5:D9,MATCH(I8,A5:A9,0))</t>
  </si>
  <si>
    <t>Returns Term Months for LN.</t>
  </si>
  <si>
    <t>Lookup without VLOOKUP limitations.</t>
  </si>
  <si>
    <t>Lookup and return ranges not aligned.</t>
  </si>
  <si>
    <t>XMATCH</t>
  </si>
  <si>
    <t>Modern MATCH</t>
  </si>
  <si>
    <t>XMATCH(lookup_value,lookup_array,[match_mode],[search_mode])</t>
  </si>
  <si>
    <t>'=XMATCH(I8,A5:A9)</t>
  </si>
  <si>
    <t>Modern position lookup.</t>
  </si>
  <si>
    <t>Advanced dynamic formulas.</t>
  </si>
  <si>
    <t>Using in non-365 versions.</t>
  </si>
  <si>
    <t>OFFSET</t>
  </si>
  <si>
    <t>Return value/range offset from a start cell</t>
  </si>
  <si>
    <t>OFFSET(reference,rows,cols,[height],[width])</t>
  </si>
  <si>
    <t>'=OFFSET(A5,2,1)</t>
  </si>
  <si>
    <t>Starts at A5 and moves to B7.</t>
  </si>
  <si>
    <t>Dynamic ranges (use carefully).</t>
  </si>
  <si>
    <t>Volatile references slow workbooks.</t>
  </si>
  <si>
    <t>INDIRECT</t>
  </si>
  <si>
    <t>Build a reference from text</t>
  </si>
  <si>
    <t>INDIRECT(ref_text,[a1])</t>
  </si>
  <si>
    <t>'=INDIRECT("B5")</t>
  </si>
  <si>
    <t>Converts text B5 into a real reference.</t>
  </si>
  <si>
    <t>Dynamic template references.</t>
  </si>
  <si>
    <t>Using too many volatile formulas.</t>
  </si>
  <si>
    <t>Conditional Calculation Formulas</t>
  </si>
  <si>
    <t>Sample Recovery Dataset</t>
  </si>
  <si>
    <t>Current</t>
  </si>
  <si>
    <t>Late</t>
  </si>
  <si>
    <t>Critical</t>
  </si>
  <si>
    <t>Hari</t>
  </si>
  <si>
    <t>Conditional Calc</t>
  </si>
  <si>
    <t>SUMIF</t>
  </si>
  <si>
    <t>Sum with one condition</t>
  </si>
  <si>
    <t>SUMIF(range,criteria,[sum_range])</t>
  </si>
  <si>
    <t>'=SUMIF(A5:A10,"Central",D5:D10)</t>
  </si>
  <si>
    <t>3300</t>
  </si>
  <si>
    <t>Adds amounts for Central branch only.</t>
  </si>
  <si>
    <t>Branch-wise collection summary.</t>
  </si>
  <si>
    <t>Criteria range and sum range not aligned.</t>
  </si>
  <si>
    <t>SUMIFS</t>
  </si>
  <si>
    <t>Sum with multiple conditions</t>
  </si>
  <si>
    <t>SUMIFS(sum_range,criteria_range1,criteria1,...)</t>
  </si>
  <si>
    <t>'=SUMIFS(D5:D10,A5:A10,"North",E5:E10,"Late")</t>
  </si>
  <si>
    <t>1500</t>
  </si>
  <si>
    <t>Adds North-branch amounts only where Status is Late.</t>
  </si>
  <si>
    <t>Overdue amount by branch and status.</t>
  </si>
  <si>
    <t>Putting sum_range after criteria arguments.</t>
  </si>
  <si>
    <t>COUNTIF</t>
  </si>
  <si>
    <t>Count with one condition</t>
  </si>
  <si>
    <t>COUNTIF(range,criteria)</t>
  </si>
  <si>
    <t>'=COUNTIF(E5:E10,"Current")</t>
  </si>
  <si>
    <t>Counts rows marked Current.</t>
  </si>
  <si>
    <t>Status counts in dashboards.</t>
  </si>
  <si>
    <t>Using COUNT instead of COUNTIF.</t>
  </si>
  <si>
    <t>COUNTIFS</t>
  </si>
  <si>
    <t>Count with multiple conditions</t>
  </si>
  <si>
    <t>COUNTIFS(criteria_range1,criteria1,...)</t>
  </si>
  <si>
    <t>'=COUNTIFS(A5:A10,"North",C5:C10,"Loan")</t>
  </si>
  <si>
    <t>Counts North-branch Loan rows.</t>
  </si>
  <si>
    <t>Officer/branch workload counts.</t>
  </si>
  <si>
    <t>Mismatched range sizes.</t>
  </si>
  <si>
    <t>AVERAGEIF</t>
  </si>
  <si>
    <t>Average with one condition</t>
  </si>
  <si>
    <t>AVERAGEIF(range,criteria,[average_range])</t>
  </si>
  <si>
    <t>'=AVERAGEIF(C5:C10,"Loan",D5:D10)</t>
  </si>
  <si>
    <t>1475</t>
  </si>
  <si>
    <t>Returns average amount for Loan rows.</t>
  </si>
  <si>
    <t>Average loan collection.</t>
  </si>
  <si>
    <t>Averaging the criteria range by mistake.</t>
  </si>
  <si>
    <t>AVERAGEIFS</t>
  </si>
  <si>
    <t>Average with multiple conditions</t>
  </si>
  <si>
    <t>AVERAGEIFS(average_range,criteria_range1,criteria1,...)</t>
  </si>
  <si>
    <t>'=AVERAGEIFS(D5:D10,A5:A10,"North",C5:C10,"Loan")</t>
  </si>
  <si>
    <t>Average amount for North + Loan rows.</t>
  </si>
  <si>
    <t>Focused performance analysis.</t>
  </si>
  <si>
    <t>Using criteria values that do not exist.</t>
  </si>
  <si>
    <t>Financial Formulas</t>
  </si>
  <si>
    <t>Sample Loan / Deposit Inputs</t>
  </si>
  <si>
    <t>Annual Rate %</t>
  </si>
  <si>
    <t>Years</t>
  </si>
  <si>
    <t>Loan Amount</t>
  </si>
  <si>
    <t>Monthly Deposit</t>
  </si>
  <si>
    <t>Future Amount</t>
  </si>
  <si>
    <t>Financial</t>
  </si>
  <si>
    <t>PMT</t>
  </si>
  <si>
    <t>Periodic payment for a loan</t>
  </si>
  <si>
    <t>PMT(rate,nper,pv,[fv],[type])</t>
  </si>
  <si>
    <t>'=PMT(A5/12/100,B5*12,-C5)</t>
  </si>
  <si>
    <t>4707.35 (approx.)</t>
  </si>
  <si>
    <t>Calculates the monthly installment for the loan.</t>
  </si>
  <si>
    <t>EMI estimation for borrowers.</t>
  </si>
  <si>
    <t>Forgetting to divide annual rate by 12 and 100.</t>
  </si>
  <si>
    <t>FV</t>
  </si>
  <si>
    <t>Future value of periodic deposits</t>
  </si>
  <si>
    <t>FV(rate,nper,pmt,[pv],[type])</t>
  </si>
  <si>
    <t>'=FV(8%/12,24,-D5,0,0)</t>
  </si>
  <si>
    <t>~78,185.54</t>
  </si>
  <si>
    <t>Projects savings growth with monthly deposit.</t>
  </si>
  <si>
    <t>Savings plan projection.</t>
  </si>
  <si>
    <t>Wrong sign convention for payment.</t>
  </si>
  <si>
    <t>PV</t>
  </si>
  <si>
    <t>Present value of future amount</t>
  </si>
  <si>
    <t>PV(rate,nper,pmt,[fv],[type])</t>
  </si>
  <si>
    <t>'=PV(10%/12,12,0,-E5)</t>
  </si>
  <si>
    <t>Current value of 50,000 due in 12 months</t>
  </si>
  <si>
    <t>Discounts a future amount back to present value.</t>
  </si>
  <si>
    <t>Present-value estimate.</t>
  </si>
  <si>
    <t>Wrong sign for future amount.</t>
  </si>
  <si>
    <t>RATE</t>
  </si>
  <si>
    <t>Interest rate per period</t>
  </si>
  <si>
    <t>RATE(nper,pmt,pv,[fv],[type],[guess])</t>
  </si>
  <si>
    <t>'=RATE(B5*12,-4707.35,C5)*12</t>
  </si>
  <si>
    <t>Approx. 12% annualized</t>
  </si>
  <si>
    <t>Back-solves the rate from loan terms.</t>
  </si>
  <si>
    <t>Check implied loan rate.</t>
  </si>
  <si>
    <t>Misreading periodic vs annual rate.</t>
  </si>
  <si>
    <t>NPER</t>
  </si>
  <si>
    <t>Number of periods</t>
  </si>
  <si>
    <t>NPER(rate,pmt,pv,[fv],[type])</t>
  </si>
  <si>
    <t>'=NPER(12%/12,-4707.35,C5)</t>
  </si>
  <si>
    <t>Approx. 24</t>
  </si>
  <si>
    <t>Finds the number of payment periods.</t>
  </si>
  <si>
    <t>Repayment period estimate.</t>
  </si>
  <si>
    <t>Incorrect sign convention.</t>
  </si>
  <si>
    <t>Dynamic Array and Advanced Formulas (Excel 365)</t>
  </si>
  <si>
    <t>Sample Transaction Dataset</t>
  </si>
  <si>
    <t>Price</t>
  </si>
  <si>
    <t>EMA Period</t>
  </si>
  <si>
    <t>Advanced 365</t>
  </si>
  <si>
    <t>FILTER</t>
  </si>
  <si>
    <t>Return only rows that meet a condition</t>
  </si>
  <si>
    <t>FILTER(array,include,[if_empty])</t>
  </si>
  <si>
    <t>'=FILTER(A5:C11,C5:C11&gt;1000,"No results")</t>
  </si>
  <si>
    <t>Spills rows with Amount &gt; 1000</t>
  </si>
  <si>
    <t>Returns matching rows automatically.</t>
  </si>
  <si>
    <t>Show high-value transactions only.</t>
  </si>
  <si>
    <t>Blocking spill range.</t>
  </si>
  <si>
    <t>SORT</t>
  </si>
  <si>
    <t>Sort a range dynamically</t>
  </si>
  <si>
    <t>SORT(array,[sort_index],[sort_order],[by_col])</t>
  </si>
  <si>
    <t>'=SORT(C5:C11,1,-1)</t>
  </si>
  <si>
    <t>Descending sorted amount list</t>
  </si>
  <si>
    <t>Sorts amounts from highest to lowest.</t>
  </si>
  <si>
    <t>Quick ranking view.</t>
  </si>
  <si>
    <t>Using inside Excel Tables where spill is blocked.</t>
  </si>
  <si>
    <t>SORTBY</t>
  </si>
  <si>
    <t>Sort one array by another array</t>
  </si>
  <si>
    <t>SORTBY(array,by_array1,[sort_order1],...)</t>
  </si>
  <si>
    <t>'=SORTBY(A5:D11,C5:C11,-1)</t>
  </si>
  <si>
    <t>Rows sorted by Amount descending</t>
  </si>
  <si>
    <t>Keeps whole records together while sorting.</t>
  </si>
  <si>
    <t>Transaction review list.</t>
  </si>
  <si>
    <t>Using arrays with different sizes.</t>
  </si>
  <si>
    <t>UNIQUE</t>
  </si>
  <si>
    <t>Return distinct values</t>
  </si>
  <si>
    <t>UNIQUE(array,[by_col],[exactly_once])</t>
  </si>
  <si>
    <t>'=UNIQUE(B5:B11)</t>
  </si>
  <si>
    <t>Central, North, East</t>
  </si>
  <si>
    <t>Returns each unique branch once.</t>
  </si>
  <si>
    <t>Create dynamic drop-down source.</t>
  </si>
  <si>
    <t>Expecting sorted output automatically.</t>
  </si>
  <si>
    <t>SEQUENCE</t>
  </si>
  <si>
    <t>Generate number sequences</t>
  </si>
  <si>
    <t>SEQUENCE(rows,[columns],[start],[step])</t>
  </si>
  <si>
    <t>'=SEQUENCE(5,1,1,1)</t>
  </si>
  <si>
    <t>1 to 5 spilled vertically</t>
  </si>
  <si>
    <t>Generates a sequence without typing each value.</t>
  </si>
  <si>
    <t>Serial numbers.</t>
  </si>
  <si>
    <t>Forgetting it spills multiple cells.</t>
  </si>
  <si>
    <t>RANDARRAY</t>
  </si>
  <si>
    <t>Generate random array</t>
  </si>
  <si>
    <t>RANDARRAY([rows],[columns],[min],[max],[whole_number])</t>
  </si>
  <si>
    <t>'=RANDARRAY(3,2,1,100,TRUE)</t>
  </si>
  <si>
    <t>3x2 random integers 1–100</t>
  </si>
  <si>
    <t>Creates sample/random data quickly.</t>
  </si>
  <si>
    <t>Training demos and random assignments.</t>
  </si>
  <si>
    <t>Expecting stable values without paste-as-values.</t>
  </si>
  <si>
    <t>LET</t>
  </si>
  <si>
    <t>Name values inside a formula</t>
  </si>
  <si>
    <t>LET(name1,value1,calculation)</t>
  </si>
  <si>
    <t>'=LET(qty,12,rate,125,qty*rate)</t>
  </si>
  <si>
    <t>Makes long formulas clearer and easier to maintain.</t>
  </si>
  <si>
    <t>Reusable logic inside one expression.</t>
  </si>
  <si>
    <t>Reusing names incorrectly.</t>
  </si>
  <si>
    <t>LAMBDA</t>
  </si>
  <si>
    <t>Create custom reusable logic</t>
  </si>
  <si>
    <t>LAMBDA(parameter,calculation)</t>
  </si>
  <si>
    <t>'=LAMBDA(qty,price,qty*price)(10,125)</t>
  </si>
  <si>
    <t>Defines and immediately runs a custom mini function.</t>
  </si>
  <si>
    <t>Custom model formulas.</t>
  </si>
  <si>
    <t>Writing LAMBDA without calling it.</t>
  </si>
  <si>
    <t>MAP</t>
  </si>
  <si>
    <t>Apply a LAMBDA to each item</t>
  </si>
  <si>
    <t>MAP(array1,LAMBDA(a,calc))</t>
  </si>
  <si>
    <t>'=MAP(C5:C11,LAMBDA(x,x*1.1))</t>
  </si>
  <si>
    <t>Each amount increased by 10%</t>
  </si>
  <si>
    <t>Transforms each item in an array.</t>
  </si>
  <si>
    <t>Bulk rate adjustments.</t>
  </si>
  <si>
    <t>Using unsupported Excel version.</t>
  </si>
  <si>
    <t>BYROW</t>
  </si>
  <si>
    <t>Process one row at a time</t>
  </si>
  <si>
    <t>BYROW(array,LAMBDA(row,calc))</t>
  </si>
  <si>
    <t>'=BYROW(C5:D11,LAMBDA(r,SUM(r)))</t>
  </si>
  <si>
    <t>Row sums spilled vertically</t>
  </si>
  <si>
    <t>Summarizes each row of an array.</t>
  </si>
  <si>
    <t>Per-record totals.</t>
  </si>
  <si>
    <t>Supplying a scalar instead of an array.</t>
  </si>
  <si>
    <t>BYCOL</t>
  </si>
  <si>
    <t>Process one column at a time</t>
  </si>
  <si>
    <t>BYCOL(array,LAMBDA(col,calc))</t>
  </si>
  <si>
    <t>'=BYCOL(C5:D11,LAMBDA(c,MAX(c)))</t>
  </si>
  <si>
    <t>Max of Amount and Price</t>
  </si>
  <si>
    <t>Summarizes each column of an array.</t>
  </si>
  <si>
    <t>Column-wise checks.</t>
  </si>
  <si>
    <t>Expecting multi-column result from scalar lambda.</t>
  </si>
  <si>
    <t>SCAN</t>
  </si>
  <si>
    <t>Return running calculation results</t>
  </si>
  <si>
    <t>SCAN([initial_value],array,LAMBDA(acc,value,calc))</t>
  </si>
  <si>
    <t>'=SCAN(0,C5:C11,LAMBDA(a,v,a+v))</t>
  </si>
  <si>
    <t>Running total of Amount</t>
  </si>
  <si>
    <t>Returns every intermediate running total.</t>
  </si>
  <si>
    <t>Running collection balance.</t>
  </si>
  <si>
    <t>Mixing SCAN with REDUCE expectations.</t>
  </si>
  <si>
    <t>REDUCE</t>
  </si>
  <si>
    <t>Return one final accumulated result</t>
  </si>
  <si>
    <t>REDUCE([initial_value],array,LAMBDA(acc,value,calc))</t>
  </si>
  <si>
    <t>'=REDUCE(0,C5:C11,LAMBDA(a,v,a+v))</t>
  </si>
  <si>
    <t>8550</t>
  </si>
  <si>
    <t>Returns one final total from an iterative process.</t>
  </si>
  <si>
    <t>Custom aggregate calculations.</t>
  </si>
  <si>
    <t>Expecting a spilled running output.</t>
  </si>
  <si>
    <t>Advanced Example: Running EMA with SCAN (Excel 365 only)</t>
  </si>
  <si>
    <t>Item</t>
  </si>
  <si>
    <t>Description</t>
  </si>
  <si>
    <t>Live Result / Spill Start</t>
  </si>
  <si>
    <t>Expected Output</t>
  </si>
  <si>
    <t>Use Case</t>
  </si>
  <si>
    <t>EMA of Price</t>
  </si>
  <si>
    <t>Calculates EMA using SMA start and SCAN</t>
  </si>
  <si>
    <t>'=LET(prices,D5:D11,n,J4,alpha,2/(n+1),start,AVERAGE(TAKE(prices,n)),rest,DROP(prices,n),ema_tail,SCAN(start,rest,LAMBDA(prev,curr,curr*alpha+prev*(1-alpha))),VSTACK(MAKEARRAY(n-1,1,LAMBDA(r,c,"")),start,ema_tail))</t>
  </si>
  <si>
    <t>(blank),(blank),105,106.5,110.75,111.375,114.6875</t>
  </si>
  <si>
    <t>Places SMA on the nth row and then continues EMA recursively.</t>
  </si>
  <si>
    <t>Trend smoothing / training example</t>
  </si>
  <si>
    <t>Important: Dynamic array formulas should be placed outside Excel Tables so the spill range is not blocked.</t>
  </si>
  <si>
    <t>Excel Error Guide</t>
  </si>
  <si>
    <t>Error</t>
  </si>
  <si>
    <t>Why It Happens</t>
  </si>
  <si>
    <t>How to Fix</t>
  </si>
  <si>
    <t>Prevention Tip</t>
  </si>
  <si>
    <t>Example / Live Demo</t>
  </si>
  <si>
    <t>Value</t>
  </si>
  <si>
    <t>Division by zero</t>
  </si>
  <si>
    <t>A denominator is 0 or blank</t>
  </si>
  <si>
    <t>Check denominator or use IFERROR</t>
  </si>
  <si>
    <t>Validate denominator before division</t>
  </si>
  <si>
    <t>AAA</t>
  </si>
  <si>
    <t>Value not available</t>
  </si>
  <si>
    <t>Lookup does not find a match</t>
  </si>
  <si>
    <t>Check spelling or use IFNA</t>
  </si>
  <si>
    <t>Validate lookup keys</t>
  </si>
  <si>
    <t>BBB</t>
  </si>
  <si>
    <t>Unrecognized formula text</t>
  </si>
  <si>
    <t>Misspelled function or missing quotes</t>
  </si>
  <si>
    <t>Correct formula name or add quotes</t>
  </si>
  <si>
    <t>Type function names carefully</t>
  </si>
  <si>
    <t>Invalid cell reference</t>
  </si>
  <si>
    <t>Formula points to deleted/invalid cells</t>
  </si>
  <si>
    <t>Restore or rewrite the reference</t>
  </si>
  <si>
    <t>Avoid deleting referenced cells</t>
  </si>
  <si>
    <t>Wrong data type</t>
  </si>
  <si>
    <t>Text used where a number/date is expected</t>
  </si>
  <si>
    <t>Convert data types or clean inputs</t>
  </si>
  <si>
    <t>Validate imported data</t>
  </si>
  <si>
    <t>Invalid numeric result</t>
  </si>
  <si>
    <t>Impossible/out-of-range numeric operation</t>
  </si>
  <si>
    <t>Check formula inputs</t>
  </si>
  <si>
    <t>Review numeric assumptions</t>
  </si>
  <si>
    <t>Invalid range intersection</t>
  </si>
  <si>
    <t>A space was used where comma/colon was intended</t>
  </si>
  <si>
    <t>Use the correct range operator</t>
  </si>
  <si>
    <t>Type ranges carefully</t>
  </si>
  <si>
    <t>#######</t>
  </si>
  <si>
    <t>Display issue, not a broken formula</t>
  </si>
  <si>
    <t>Column too narrow or negative date/time</t>
  </si>
  <si>
    <t>Widen the column or change format</t>
  </si>
  <si>
    <t>Use suitable column widths</t>
  </si>
  <si>
    <t>#SPILL!</t>
  </si>
  <si>
    <t>Dynamic array cannot spill</t>
  </si>
  <si>
    <t>Cells block the spill range</t>
  </si>
  <si>
    <t>Clear blocking cells or move the formula</t>
  </si>
  <si>
    <t>Leave room next to dynamic arrays</t>
  </si>
  <si>
    <t>Circular Ref</t>
  </si>
  <si>
    <t>Formula refers to itself</t>
  </si>
  <si>
    <t>A cell refers directly or indirectly to itself</t>
  </si>
  <si>
    <t>Rewrite logic or use iterative calc purposely</t>
  </si>
  <si>
    <t>Use Error Checking</t>
  </si>
  <si>
    <t>blocked</t>
  </si>
  <si>
    <t>Pivot Table Source Data</t>
  </si>
  <si>
    <t>Use this table as the source for pivot table practice</t>
  </si>
  <si>
    <t>Date</t>
  </si>
  <si>
    <t>Member Type</t>
  </si>
  <si>
    <t>Product Type</t>
  </si>
  <si>
    <t>Savings Amount</t>
  </si>
  <si>
    <t>Overdue Amount</t>
  </si>
  <si>
    <t>Regular</t>
  </si>
  <si>
    <t>Women Group</t>
  </si>
  <si>
    <t>Youth</t>
  </si>
  <si>
    <t>Business</t>
  </si>
  <si>
    <t>Pivot Table Practice</t>
  </si>
  <si>
    <t>How to create the pivot tables</t>
  </si>
  <si>
    <t>Step</t>
  </si>
  <si>
    <t>Instruction</t>
  </si>
  <si>
    <t>Step 1</t>
  </si>
  <si>
    <t>Go to the Pivot Source sheet and click any cell inside the source table.</t>
  </si>
  <si>
    <t>Step 2</t>
  </si>
  <si>
    <t>Choose Insert &gt; PivotTable and place the pivot table on this sheet or a new sheet.</t>
  </si>
  <si>
    <t>Step 3</t>
  </si>
  <si>
    <t>Use the field layout instructions below for each practice example.</t>
  </si>
  <si>
    <t>Step 4</t>
  </si>
  <si>
    <t>Refresh the pivot table if source data changes.</t>
  </si>
  <si>
    <t>Step 5</t>
  </si>
  <si>
    <t>Optionally add slicers for Branch, Product Type, or Status.</t>
  </si>
  <si>
    <t>Pivot Table Exercise Cards</t>
  </si>
  <si>
    <t>Exercise</t>
  </si>
  <si>
    <t>Business Question</t>
  </si>
  <si>
    <t>Rows</t>
  </si>
  <si>
    <t>Columns</t>
  </si>
  <si>
    <t>Values</t>
  </si>
  <si>
    <t>Filters</t>
  </si>
  <si>
    <t>Suggested Slicer</t>
  </si>
  <si>
    <t>Insight / What to Look For</t>
  </si>
  <si>
    <t>Pivot 1: Collection by Branch</t>
  </si>
  <si>
    <t>Which branch collected the most?</t>
  </si>
  <si>
    <t>Sum of Collection Amount</t>
  </si>
  <si>
    <t>Compare branch performance using total collection.</t>
  </si>
  <si>
    <t>Pivot 2: Loan by Product</t>
  </si>
  <si>
    <t>What is the total loan amount by product type?</t>
  </si>
  <si>
    <t>Sum of Loan Amount</t>
  </si>
  <si>
    <t>Compare exposure by product.</t>
  </si>
  <si>
    <t>Pivot 3: Officer Recovery</t>
  </si>
  <si>
    <t>Which officer recovered the highest collection?</t>
  </si>
  <si>
    <t>Review officer performance by branch or status.</t>
  </si>
  <si>
    <t>Pivot 4: Overdue by Branch and Status</t>
  </si>
  <si>
    <t>Which branch has the highest overdue amount and in which status bucket?</t>
  </si>
  <si>
    <t>Sum of Overdue Amount</t>
  </si>
  <si>
    <t>Highlights delinquency concentration.</t>
  </si>
  <si>
    <t>Pivot 5: Monthly Summary</t>
  </si>
  <si>
    <t>How much collection happened by month?</t>
  </si>
  <si>
    <t>Date (group by Month)</t>
  </si>
  <si>
    <t>Reveals monthly transaction trend.</t>
  </si>
  <si>
    <t>Expected Summary Table - Collection by Branch</t>
  </si>
  <si>
    <t>Expected Summary Table - Loan by Product</t>
  </si>
  <si>
    <t>Total Collection</t>
  </si>
  <si>
    <t>Total Loan</t>
  </si>
  <si>
    <t>Expected Summary Table - Officer Recovery</t>
  </si>
  <si>
    <t>Note: This workbook includes pivot source data and pivot design instructions. Use Excel Desktop to insert actual pivot tables from the source table for hands-on practice.</t>
  </si>
  <si>
    <t>Practice Exercises</t>
  </si>
  <si>
    <t>Exercise No.</t>
  </si>
  <si>
    <t>Task</t>
  </si>
  <si>
    <t>Hint</t>
  </si>
  <si>
    <t>Sheet</t>
  </si>
  <si>
    <t>Answer Check</t>
  </si>
  <si>
    <t>Calculate total collection amount in Math &amp; Stats sheet.</t>
  </si>
  <si>
    <t>Use SUM on Collection Amount column.</t>
  </si>
  <si>
    <t>See Trainer Notes</t>
  </si>
  <si>
    <t>Show Closed/Active status for row 6 in Logical sheet.</t>
  </si>
  <si>
    <t>If balance = 0 return Closed.</t>
  </si>
  <si>
    <t>Clean the text in Text!D5.</t>
  </si>
  <si>
    <t>Use TRIM.</t>
  </si>
  <si>
    <t>Calculate North + Late amount in Conditional Calc.</t>
  </si>
  <si>
    <t>Use SUMIFS on Amount by Branch and Status.</t>
  </si>
  <si>
    <t>Return Product Name for code LN in Lookup &amp; Ref.</t>
  </si>
  <si>
    <t>Use VLOOKUP with exact match.</t>
  </si>
  <si>
    <t>Calculate months between Join Date and Maturity Date for row 5.</t>
  </si>
  <si>
    <t>Use unit "m".</t>
  </si>
  <si>
    <t>Return rows in Advanced 365 where Amount &gt; 1000.</t>
  </si>
  <si>
    <t>Use FILTER on A:C.</t>
  </si>
  <si>
    <t>Spilled list of matching rows</t>
  </si>
  <si>
    <t>Create a running total for Amount in Advanced 365.</t>
  </si>
  <si>
    <t>Use SCAN with initial 0.</t>
  </si>
  <si>
    <t>Spilled running totals</t>
  </si>
  <si>
    <t>Pivot Table</t>
  </si>
  <si>
    <t>Create a pivot table showing total collection by branch.</t>
  </si>
  <si>
    <t>Rows = Branch; Values = Sum of Collection Amount.</t>
  </si>
  <si>
    <t>Branch totals matching Pivot Practice table</t>
  </si>
  <si>
    <t>Pivot Practice</t>
  </si>
  <si>
    <t>Trainer Notes and Answer Key</t>
  </si>
  <si>
    <t>Suggested Teaching Sequence</t>
  </si>
  <si>
    <t>Session</t>
  </si>
  <si>
    <t>Suggested Flow</t>
  </si>
  <si>
    <t>Day 1 / Session 1</t>
  </si>
  <si>
    <t>Start Here, Basic Skills, Math &amp; Stats</t>
  </si>
  <si>
    <t>Day 1 / Session 2</t>
  </si>
  <si>
    <t>Logical, Text</t>
  </si>
  <si>
    <t>Day 2 / Session 1</t>
  </si>
  <si>
    <t>Date &amp; Time, Lookup &amp; Ref, Conditional Calc</t>
  </si>
  <si>
    <t>Day 2 / Session 2</t>
  </si>
  <si>
    <t>Financial, Error Guide, Pivot Source, Pivot Practice</t>
  </si>
  <si>
    <t>Day 3 / Session 1</t>
  </si>
  <si>
    <t>Advanced 365 (optional), Practice Exercises, review and Q&amp;A</t>
  </si>
  <si>
    <t>Common Learner Mistakes</t>
  </si>
  <si>
    <t>Area</t>
  </si>
  <si>
    <t>What to Emphasize</t>
  </si>
  <si>
    <t>Cell references</t>
  </si>
  <si>
    <t>Learners often mix relative and absolute references when copying formulas.</t>
  </si>
  <si>
    <t>Text vs numbers</t>
  </si>
  <si>
    <t>Imported numbers may behave like text and break calculations.</t>
  </si>
  <si>
    <t>Date formats</t>
  </si>
  <si>
    <t>A displayed date may actually be text; formulas like YEAR/MONTH will fail.</t>
  </si>
  <si>
    <t>Lookup exact match</t>
  </si>
  <si>
    <t>New users forget FALSE or exact-match logic in lookups.</t>
  </si>
  <si>
    <t>Criteria formulas</t>
  </si>
  <si>
    <t>SUMIFS/COUNTIFS ranges must be the same size.</t>
  </si>
  <si>
    <t>Dynamic arrays</t>
  </si>
  <si>
    <t>Advanced formulas may fail inside Excel Tables because spill ranges are blocked.</t>
  </si>
  <si>
    <t>Answer Key for Practice Exercises</t>
  </si>
  <si>
    <t>Suggested Answer Formula / Setup</t>
  </si>
  <si>
    <t>Rows where Amount &gt; 1000</t>
  </si>
  <si>
    <t>Running totals</t>
  </si>
  <si>
    <t>Rows=Branch, Values=Sum of Collection Amount</t>
  </si>
  <si>
    <t>Match Pivot Practice branch totals</t>
  </si>
  <si>
    <t>Version Guidance: Advanced 365 requires modern Excel. If learners use older Excel, focus on sheets 1–9 plus the Pivot / Error / Practice sheets.</t>
  </si>
  <si>
    <t>MainCounter</t>
  </si>
  <si>
    <t>Anuja</t>
  </si>
  <si>
    <t>Cumulative Interest</t>
  </si>
  <si>
    <t>Ending Balance</t>
  </si>
  <si>
    <t>Interest</t>
  </si>
  <si>
    <t>Principal</t>
  </si>
  <si>
    <t>Total Payment</t>
  </si>
  <si>
    <t>Extra Payment</t>
  </si>
  <si>
    <t>Scheduled Payment</t>
  </si>
  <si>
    <t>Beginning Balance</t>
  </si>
  <si>
    <t>Payment Date</t>
  </si>
  <si>
    <t>Pmt. No.</t>
  </si>
  <si>
    <t>Lender name:</t>
  </si>
  <si>
    <t>Optional extra payments</t>
  </si>
  <si>
    <t>Total interest</t>
  </si>
  <si>
    <t>Start date of loan</t>
  </si>
  <si>
    <t>Total early payments</t>
  </si>
  <si>
    <t>Number of payments per year</t>
  </si>
  <si>
    <t>Actual number of payments</t>
  </si>
  <si>
    <t>Loan period in years</t>
  </si>
  <si>
    <t>Scheduled number of payments</t>
  </si>
  <si>
    <t>Annual interest rate</t>
  </si>
  <si>
    <t>Scheduled payment</t>
  </si>
  <si>
    <t>Loan amount</t>
  </si>
  <si>
    <t>Loan summary</t>
  </si>
  <si>
    <t>Enter values</t>
  </si>
  <si>
    <t>Loan Amortization Schedule</t>
  </si>
  <si>
    <t>Regan</t>
  </si>
  <si>
    <t>Rikesh</t>
  </si>
  <si>
    <t>regan</t>
  </si>
  <si>
    <t>Grand Total</t>
  </si>
  <si>
    <t>Sum of Savings Amount</t>
  </si>
  <si>
    <t>NPL</t>
  </si>
  <si>
    <t>PL</t>
  </si>
  <si>
    <t>%</t>
  </si>
  <si>
    <t>Name</t>
  </si>
  <si>
    <t>Marks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</si>
</sst>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dd\-mmm\-yyyy"/>
    <numFmt numFmtId="165" formatCode="dd\-mmm\-yyyy\ hh:mm"/>
    <numFmt numFmtId="168" formatCode="0_)"/>
    <numFmt numFmtId="169" formatCode="0.00?%_)"/>
  </numFmts>
  <fonts count="19" x14ac:knownFonts="1"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sz val="10"/>
      <name val="Consolas"/>
      <family val="3"/>
    </font>
    <font>
      <sz val="10"/>
      <name val="Calibri"/>
      <family val="1"/>
      <scheme val="minor"/>
    </font>
    <font>
      <sz val="10"/>
      <name val="Arial"/>
    </font>
    <font>
      <sz val="10"/>
      <color indexed="23"/>
      <name val="Calibri"/>
      <family val="1"/>
      <scheme val="minor"/>
    </font>
    <font>
      <sz val="11"/>
      <color theme="1"/>
      <name val="Agency FB"/>
      <family val="2"/>
    </font>
    <font>
      <sz val="11"/>
      <color theme="1"/>
      <name val="Calibri"/>
      <family val="1"/>
      <scheme val="minor"/>
    </font>
    <font>
      <b/>
      <sz val="10"/>
      <color theme="1"/>
      <name val="Calibri"/>
      <family val="1"/>
      <scheme val="minor"/>
    </font>
    <font>
      <b/>
      <sz val="10"/>
      <name val="Calibri"/>
      <family val="1"/>
      <scheme val="minor"/>
    </font>
    <font>
      <sz val="11"/>
      <color rgb="FF3F3F76"/>
      <name val="Agency FB"/>
      <family val="2"/>
    </font>
    <font>
      <sz val="10"/>
      <color rgb="FF3F3F76"/>
      <name val="Calibri"/>
      <family val="1"/>
      <scheme val="minor"/>
    </font>
    <font>
      <b/>
      <sz val="11"/>
      <color rgb="FFFA7D00"/>
      <name val="Agency FB"/>
      <family val="2"/>
    </font>
    <font>
      <b/>
      <sz val="10"/>
      <color rgb="FFFA7D00"/>
      <name val="Calibri"/>
      <family val="1"/>
      <scheme val="minor"/>
    </font>
    <font>
      <b/>
      <sz val="18"/>
      <name val="Cambria"/>
      <family val="2"/>
      <scheme val="major"/>
    </font>
    <font>
      <sz val="11"/>
      <name val="Calibri"/>
      <family val="2"/>
    </font>
    <font>
      <sz val="1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D9EAF7"/>
      </patternFill>
    </fill>
    <fill>
      <patternFill patternType="solid">
        <fgColor rgb="FFB4C6E7"/>
      </patternFill>
    </fill>
    <fill>
      <patternFill patternType="solid">
        <fgColor rgb="FFC6E0B4"/>
      </patternFill>
    </fill>
    <fill>
      <patternFill patternType="solid">
        <fgColor rgb="FFF4B183"/>
      </patternFill>
    </fill>
    <fill>
      <patternFill patternType="solid">
        <fgColor rgb="FF9DC3E6"/>
      </patternFill>
    </fill>
    <fill>
      <patternFill patternType="solid">
        <fgColor rgb="FFFCE4D6"/>
      </patternFill>
    </fill>
    <fill>
      <patternFill patternType="solid">
        <fgColor rgb="FFE2F0D9"/>
      </patternFill>
    </fill>
    <fill>
      <patternFill patternType="solid">
        <fgColor rgb="FFFFF2CC"/>
      </patternFill>
    </fill>
    <fill>
      <patternFill patternType="solid">
        <fgColor rgb="FFF8CBAD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indexed="9"/>
      </patternFill>
    </fill>
    <fill>
      <patternFill patternType="solid">
        <fgColor theme="6" tint="0.79998168889431442"/>
        <bgColor theme="6" tint="0.79998168889431442"/>
      </patternFill>
    </fill>
  </fills>
  <borders count="28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hair">
        <color indexed="16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hair">
        <color indexed="16"/>
      </top>
      <bottom/>
      <diagonal/>
    </border>
    <border>
      <left/>
      <right style="hair">
        <color indexed="16"/>
      </right>
      <top style="hair">
        <color indexed="16"/>
      </top>
      <bottom/>
      <diagonal/>
    </border>
    <border>
      <left style="hair">
        <color indexed="16"/>
      </left>
      <right/>
      <top style="hair">
        <color indexed="16"/>
      </top>
      <bottom/>
      <diagonal/>
    </border>
    <border>
      <left style="hair">
        <color indexed="16"/>
      </left>
      <right/>
      <top/>
      <bottom style="hair">
        <color indexed="16"/>
      </bottom>
      <diagonal/>
    </border>
    <border>
      <left style="hair">
        <color indexed="16"/>
      </left>
      <right/>
      <top/>
      <bottom/>
      <diagonal/>
    </border>
    <border>
      <left/>
      <right style="hair">
        <color indexed="16"/>
      </right>
      <top style="hair">
        <color indexed="16"/>
      </top>
      <bottom style="hair">
        <color indexed="16"/>
      </bottom>
      <diagonal/>
    </border>
    <border>
      <left/>
      <right/>
      <top style="hair">
        <color indexed="16"/>
      </top>
      <bottom style="hair">
        <color indexed="16"/>
      </bottom>
      <diagonal/>
    </border>
    <border>
      <left style="hair">
        <color indexed="16"/>
      </left>
      <right/>
      <top style="hair">
        <color indexed="16"/>
      </top>
      <bottom style="hair">
        <color indexed="16"/>
      </bottom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7">
    <xf numFmtId="0" fontId="0" fillId="0" borderId="0"/>
    <xf numFmtId="0" fontId="5" fillId="0" borderId="0"/>
    <xf numFmtId="44" fontId="6" fillId="0" borderId="0" applyFont="0" applyFill="0" applyBorder="0" applyAlignment="0" applyProtection="0"/>
    <xf numFmtId="0" fontId="8" fillId="17" borderId="0" applyNumberFormat="0" applyBorder="0" applyAlignment="0" applyProtection="0"/>
    <xf numFmtId="0" fontId="12" fillId="12" borderId="2" applyNumberFormat="0" applyAlignment="0" applyProtection="0"/>
    <xf numFmtId="0" fontId="14" fillId="13" borderId="2" applyNumberFormat="0" applyAlignment="0" applyProtection="0"/>
    <xf numFmtId="44" fontId="18" fillId="0" borderId="0" applyFont="0" applyFill="0" applyBorder="0" applyAlignment="0" applyProtection="0"/>
  </cellStyleXfs>
  <cellXfs count="95">
    <xf numFmtId="0" fontId="0" fillId="0" borderId="0" xfId="0"/>
    <xf numFmtId="0" fontId="3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0" fillId="5" borderId="1" xfId="0" applyFill="1" applyBorder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7" borderId="1" xfId="0" applyFill="1" applyBorder="1" applyAlignment="1">
      <alignment vertical="top" wrapText="1"/>
    </xf>
    <xf numFmtId="9" fontId="0" fillId="10" borderId="0" xfId="0" applyNumberFormat="1" applyFill="1" applyAlignment="1">
      <alignment vertical="top" wrapText="1"/>
    </xf>
    <xf numFmtId="4" fontId="0" fillId="0" borderId="1" xfId="0" applyNumberFormat="1" applyBorder="1" applyAlignment="1">
      <alignment vertical="top" wrapText="1"/>
    </xf>
    <xf numFmtId="0" fontId="3" fillId="5" borderId="1" xfId="0" applyFont="1" applyFill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0" fillId="9" borderId="1" xfId="0" applyFill="1" applyBorder="1" applyAlignment="1">
      <alignment vertical="top" wrapText="1"/>
    </xf>
    <xf numFmtId="0" fontId="3" fillId="6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vertical="top" wrapText="1"/>
    </xf>
    <xf numFmtId="164" fontId="0" fillId="0" borderId="1" xfId="0" applyNumberFormat="1" applyBorder="1" applyAlignment="1">
      <alignment vertical="top" wrapText="1"/>
    </xf>
    <xf numFmtId="164" fontId="0" fillId="9" borderId="1" xfId="0" applyNumberFormat="1" applyFill="1" applyBorder="1" applyAlignment="1">
      <alignment vertical="top" wrapText="1"/>
    </xf>
    <xf numFmtId="165" fontId="0" fillId="9" borderId="1" xfId="0" applyNumberFormat="1" applyFill="1" applyBorder="1" applyAlignment="1">
      <alignment vertical="top" wrapText="1"/>
    </xf>
    <xf numFmtId="0" fontId="3" fillId="10" borderId="1" xfId="0" applyFont="1" applyFill="1" applyBorder="1" applyAlignment="1">
      <alignment vertical="top" wrapText="1"/>
    </xf>
    <xf numFmtId="0" fontId="0" fillId="10" borderId="1" xfId="0" applyFill="1" applyBorder="1" applyAlignment="1">
      <alignment vertical="top" wrapText="1"/>
    </xf>
    <xf numFmtId="0" fontId="3" fillId="11" borderId="1" xfId="0" applyFont="1" applyFill="1" applyBorder="1" applyAlignment="1">
      <alignment vertical="top" wrapText="1"/>
    </xf>
    <xf numFmtId="164" fontId="4" fillId="0" borderId="1" xfId="0" applyNumberFormat="1" applyFont="1" applyBorder="1" applyAlignment="1">
      <alignment vertical="top" wrapText="1"/>
    </xf>
    <xf numFmtId="0" fontId="4" fillId="10" borderId="1" xfId="0" applyFont="1" applyFill="1" applyBorder="1" applyAlignment="1">
      <alignment vertical="top" wrapText="1"/>
    </xf>
    <xf numFmtId="3" fontId="0" fillId="0" borderId="1" xfId="0" applyNumberFormat="1" applyBorder="1" applyAlignment="1">
      <alignment vertical="top" wrapText="1"/>
    </xf>
    <xf numFmtId="0" fontId="2" fillId="3" borderId="1" xfId="0" applyFont="1" applyFill="1" applyBorder="1" applyAlignment="1">
      <alignment vertical="top" wrapText="1"/>
    </xf>
    <xf numFmtId="0" fontId="0" fillId="0" borderId="0" xfId="0"/>
    <xf numFmtId="0" fontId="0" fillId="8" borderId="1" xfId="0" applyFill="1" applyBorder="1" applyAlignment="1">
      <alignment vertical="top" wrapText="1"/>
    </xf>
    <xf numFmtId="0" fontId="1" fillId="2" borderId="0" xfId="0" applyFont="1" applyFill="1" applyAlignment="1">
      <alignment horizontal="center" vertical="center" wrapText="1"/>
    </xf>
    <xf numFmtId="0" fontId="0" fillId="0" borderId="0" xfId="0" applyNumberFormat="1"/>
    <xf numFmtId="14" fontId="0" fillId="0" borderId="0" xfId="0" applyNumberFormat="1"/>
    <xf numFmtId="0" fontId="0" fillId="15" borderId="1" xfId="0" applyFill="1" applyBorder="1" applyAlignment="1">
      <alignment vertical="top" wrapText="1"/>
    </xf>
    <xf numFmtId="0" fontId="0" fillId="14" borderId="1" xfId="0" applyFont="1" applyFill="1" applyBorder="1" applyAlignment="1">
      <alignment vertical="top" wrapText="1"/>
    </xf>
    <xf numFmtId="0" fontId="5" fillId="0" borderId="0" xfId="1"/>
    <xf numFmtId="0" fontId="5" fillId="0" borderId="0" xfId="1" applyAlignment="1">
      <alignment horizontal="center"/>
    </xf>
    <xf numFmtId="0" fontId="5" fillId="0" borderId="0" xfId="1" applyAlignment="1">
      <alignment horizontal="left"/>
    </xf>
    <xf numFmtId="44" fontId="7" fillId="16" borderId="0" xfId="2" applyFont="1" applyFill="1" applyBorder="1" applyAlignment="1">
      <alignment horizontal="right"/>
    </xf>
    <xf numFmtId="44" fontId="7" fillId="16" borderId="0" xfId="2" applyFont="1" applyFill="1" applyBorder="1" applyAlignment="1" applyProtection="1">
      <alignment horizontal="right"/>
      <protection locked="0"/>
    </xf>
    <xf numFmtId="14" fontId="7" fillId="16" borderId="0" xfId="1" applyNumberFormat="1" applyFont="1" applyFill="1" applyAlignment="1">
      <alignment horizontal="right"/>
    </xf>
    <xf numFmtId="0" fontId="7" fillId="16" borderId="0" xfId="1" applyFont="1" applyFill="1" applyAlignment="1">
      <alignment horizontal="left"/>
    </xf>
    <xf numFmtId="0" fontId="5" fillId="0" borderId="0" xfId="1" applyAlignment="1">
      <alignment wrapText="1"/>
    </xf>
    <xf numFmtId="0" fontId="9" fillId="17" borderId="3" xfId="3" applyFont="1" applyBorder="1" applyAlignment="1" applyProtection="1">
      <alignment horizontal="left" wrapText="1" indent="3"/>
    </xf>
    <xf numFmtId="0" fontId="9" fillId="17" borderId="3" xfId="3" applyFont="1" applyBorder="1" applyAlignment="1" applyProtection="1">
      <alignment horizontal="left" wrapText="1" indent="2"/>
    </xf>
    <xf numFmtId="0" fontId="9" fillId="17" borderId="3" xfId="3" applyFont="1" applyBorder="1" applyAlignment="1">
      <alignment horizontal="left"/>
    </xf>
    <xf numFmtId="0" fontId="10" fillId="17" borderId="4" xfId="3" applyFont="1" applyBorder="1" applyAlignment="1" applyProtection="1">
      <alignment horizontal="center" vertical="center" wrapText="1"/>
    </xf>
    <xf numFmtId="0" fontId="10" fillId="17" borderId="5" xfId="3" applyFont="1" applyBorder="1" applyAlignment="1" applyProtection="1">
      <alignment horizontal="center" vertical="center" wrapText="1"/>
    </xf>
    <xf numFmtId="0" fontId="10" fillId="17" borderId="6" xfId="3" applyFont="1" applyBorder="1" applyAlignment="1" applyProtection="1">
      <alignment horizontal="center" vertical="center" wrapText="1"/>
    </xf>
    <xf numFmtId="0" fontId="9" fillId="17" borderId="0" xfId="3" applyFont="1" applyBorder="1"/>
    <xf numFmtId="0" fontId="9" fillId="17" borderId="0" xfId="3" applyFont="1" applyBorder="1" applyAlignment="1">
      <alignment horizontal="left"/>
    </xf>
    <xf numFmtId="0" fontId="5" fillId="16" borderId="3" xfId="1" applyFill="1" applyBorder="1"/>
    <xf numFmtId="0" fontId="5" fillId="16" borderId="3" xfId="1" applyFill="1" applyBorder="1" applyAlignment="1">
      <alignment horizontal="left"/>
    </xf>
    <xf numFmtId="0" fontId="5" fillId="16" borderId="0" xfId="1" applyFill="1"/>
    <xf numFmtId="0" fontId="5" fillId="16" borderId="7" xfId="1" applyFill="1" applyBorder="1" applyAlignment="1">
      <alignment horizontal="left"/>
    </xf>
    <xf numFmtId="0" fontId="11" fillId="16" borderId="0" xfId="1" applyFont="1" applyFill="1" applyAlignment="1">
      <alignment horizontal="right"/>
    </xf>
    <xf numFmtId="0" fontId="5" fillId="16" borderId="0" xfId="1" applyFill="1" applyAlignment="1">
      <alignment horizontal="left"/>
    </xf>
    <xf numFmtId="0" fontId="5" fillId="16" borderId="8" xfId="1" applyFill="1" applyBorder="1" applyAlignment="1" applyProtection="1">
      <alignment horizontal="left"/>
      <protection locked="0"/>
    </xf>
    <xf numFmtId="0" fontId="5" fillId="16" borderId="9" xfId="1" applyFill="1" applyBorder="1" applyAlignment="1" applyProtection="1">
      <alignment horizontal="left"/>
      <protection locked="0"/>
    </xf>
    <xf numFmtId="44" fontId="13" fillId="12" borderId="2" xfId="4" applyNumberFormat="1" applyFont="1" applyAlignment="1" applyProtection="1">
      <alignment horizontal="right"/>
      <protection locked="0"/>
    </xf>
    <xf numFmtId="0" fontId="5" fillId="16" borderId="3" xfId="1" applyFill="1" applyBorder="1" applyAlignment="1">
      <alignment horizontal="right"/>
    </xf>
    <xf numFmtId="0" fontId="5" fillId="16" borderId="10" xfId="1" applyFill="1" applyBorder="1" applyAlignment="1">
      <alignment horizontal="left"/>
    </xf>
    <xf numFmtId="44" fontId="15" fillId="13" borderId="2" xfId="5" applyNumberFormat="1" applyFont="1" applyAlignment="1">
      <alignment horizontal="right"/>
    </xf>
    <xf numFmtId="14" fontId="13" fillId="12" borderId="2" xfId="4" applyNumberFormat="1" applyFont="1" applyAlignment="1" applyProtection="1">
      <alignment horizontal="right"/>
      <protection locked="0"/>
    </xf>
    <xf numFmtId="0" fontId="5" fillId="16" borderId="0" xfId="1" applyFill="1" applyAlignment="1">
      <alignment horizontal="right"/>
    </xf>
    <xf numFmtId="0" fontId="5" fillId="16" borderId="11" xfId="1" applyFill="1" applyBorder="1" applyAlignment="1">
      <alignment horizontal="left"/>
    </xf>
    <xf numFmtId="168" fontId="13" fillId="12" borderId="2" xfId="4" applyNumberFormat="1" applyFont="1" applyAlignment="1" applyProtection="1">
      <alignment horizontal="right"/>
      <protection locked="0"/>
    </xf>
    <xf numFmtId="168" fontId="15" fillId="13" borderId="2" xfId="5" applyNumberFormat="1" applyFont="1" applyAlignment="1">
      <alignment horizontal="right"/>
    </xf>
    <xf numFmtId="169" fontId="13" fillId="12" borderId="2" xfId="4" applyNumberFormat="1" applyFont="1" applyAlignment="1" applyProtection="1">
      <alignment horizontal="right"/>
      <protection locked="0"/>
    </xf>
    <xf numFmtId="0" fontId="10" fillId="17" borderId="12" xfId="3" applyFont="1" applyBorder="1" applyAlignment="1">
      <alignment horizontal="right"/>
    </xf>
    <xf numFmtId="0" fontId="10" fillId="17" borderId="13" xfId="3" applyFont="1" applyBorder="1" applyAlignment="1">
      <alignment horizontal="right"/>
    </xf>
    <xf numFmtId="0" fontId="10" fillId="17" borderId="14" xfId="3" applyFont="1" applyBorder="1" applyAlignment="1">
      <alignment horizontal="right"/>
    </xf>
    <xf numFmtId="0" fontId="16" fillId="16" borderId="0" xfId="1" applyFont="1" applyFill="1"/>
    <xf numFmtId="0" fontId="0" fillId="0" borderId="0" xfId="0" applyFill="1"/>
    <xf numFmtId="0" fontId="17" fillId="0" borderId="1" xfId="0" applyFont="1" applyFill="1" applyBorder="1" applyAlignment="1">
      <alignment horizontal="center" vertical="center" wrapText="1"/>
    </xf>
    <xf numFmtId="44" fontId="7" fillId="16" borderId="0" xfId="6" applyFont="1" applyFill="1" applyBorder="1" applyAlignment="1">
      <alignment horizontal="right"/>
    </xf>
    <xf numFmtId="44" fontId="7" fillId="16" borderId="0" xfId="6" applyFont="1" applyFill="1" applyBorder="1" applyAlignment="1" applyProtection="1">
      <alignment horizontal="right"/>
      <protection locked="0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0" fillId="14" borderId="15" xfId="0" applyFont="1" applyFill="1" applyBorder="1" applyAlignment="1">
      <alignment vertical="top" wrapText="1"/>
    </xf>
    <xf numFmtId="0" fontId="0" fillId="14" borderId="16" xfId="0" applyFont="1" applyFill="1" applyBorder="1" applyAlignment="1">
      <alignment vertical="top" wrapText="1"/>
    </xf>
    <xf numFmtId="0" fontId="0" fillId="0" borderId="15" xfId="0" applyFont="1" applyBorder="1" applyAlignment="1">
      <alignment vertical="top" wrapText="1"/>
    </xf>
    <xf numFmtId="0" fontId="0" fillId="0" borderId="16" xfId="0" applyFont="1" applyBorder="1" applyAlignment="1">
      <alignment vertical="top" wrapText="1"/>
    </xf>
    <xf numFmtId="0" fontId="3" fillId="4" borderId="17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17" fillId="15" borderId="1" xfId="0" applyFont="1" applyFill="1" applyBorder="1" applyAlignment="1">
      <alignment horizontal="left" vertical="center" wrapText="1"/>
    </xf>
    <xf numFmtId="0" fontId="0" fillId="15" borderId="0" xfId="0" applyFill="1" applyAlignment="1">
      <alignment horizontal="left"/>
    </xf>
    <xf numFmtId="0" fontId="17" fillId="15" borderId="1" xfId="0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0" xfId="0" pivotButton="1"/>
    <xf numFmtId="3" fontId="0" fillId="0" borderId="0" xfId="0" applyNumberFormat="1"/>
    <xf numFmtId="9" fontId="0" fillId="0" borderId="0" xfId="0" applyNumberFormat="1"/>
  </cellXfs>
  <cellStyles count="7">
    <cellStyle name="20% - Accent3 2" xfId="3" xr:uid="{5B7E86E2-F826-4B8F-9163-98434CAD381C}"/>
    <cellStyle name="Calculation 2" xfId="5" xr:uid="{0BEC5AF0-A172-4163-BB76-59030F5B329E}"/>
    <cellStyle name="Currency 2" xfId="2" xr:uid="{0F60419C-5EBA-4DC7-8B92-2A46848D4DBF}"/>
    <cellStyle name="Currency 3" xfId="6" xr:uid="{17D45041-2C27-4F26-9D94-F37F56B46FB8}"/>
    <cellStyle name="Input 2" xfId="4" xr:uid="{216DE981-849C-4680-BB5C-6689D40CC9E3}"/>
    <cellStyle name="Normal" xfId="0" builtinId="0"/>
    <cellStyle name="Normal 2" xfId="1" xr:uid="{44F251CA-D54A-4965-B378-240F87B6C353}"/>
  </cellStyles>
  <dxfs count="15">
    <dxf>
      <fill>
        <patternFill patternType="solid">
          <fgColor indexed="64"/>
          <bgColor indexed="26"/>
        </patternFill>
      </fill>
    </dxf>
    <dxf>
      <fill>
        <patternFill patternType="solid">
          <fgColor indexed="64"/>
          <bgColor indexed="26"/>
        </patternFill>
      </fill>
      <border diagonalUp="0" diagonalDown="0">
        <left/>
        <right/>
        <top/>
        <bottom style="thin">
          <color indexed="22"/>
        </bottom>
      </border>
    </dxf>
    <dxf>
      <font>
        <color indexed="9"/>
      </font>
      <fill>
        <patternFill patternType="solid">
          <fgColor indexed="64"/>
          <bgColor indexed="9"/>
        </patternFill>
      </fill>
    </dxf>
    <dxf>
      <fill>
        <patternFill patternType="solid">
          <fgColor indexed="64"/>
          <bgColor indexed="26"/>
        </patternFill>
      </fill>
    </dxf>
    <dxf>
      <fill>
        <patternFill patternType="solid">
          <fgColor indexed="64"/>
          <bgColor indexed="26"/>
        </patternFill>
      </fill>
    </dxf>
    <dxf>
      <fill>
        <patternFill patternType="solid">
          <fgColor indexed="64"/>
          <bgColor indexed="26"/>
        </patternFill>
      </fill>
      <border diagonalUp="0" diagonalDown="0">
        <left/>
        <right/>
        <top/>
        <bottom style="thin">
          <color indexed="22"/>
        </bottom>
      </border>
    </dxf>
    <dxf>
      <font>
        <color indexed="9"/>
      </font>
      <fill>
        <patternFill patternType="solid">
          <fgColor indexed="64"/>
          <bgColor indexed="9"/>
        </patternFill>
      </fill>
    </dxf>
    <dxf>
      <fill>
        <patternFill patternType="solid">
          <fgColor indexed="64"/>
          <bgColor indexed="26"/>
        </patternFill>
      </fill>
    </dxf>
    <dxf>
      <fill>
        <patternFill patternType="solid">
          <fgColor indexed="64"/>
          <bgColor indexed="26"/>
        </patternFill>
      </fill>
    </dxf>
    <dxf>
      <fill>
        <patternFill patternType="solid">
          <fgColor indexed="64"/>
          <bgColor indexed="26"/>
        </patternFill>
      </fill>
      <border diagonalUp="0" diagonalDown="0">
        <left/>
        <right/>
        <top/>
        <bottom style="thin">
          <color indexed="22"/>
        </bottom>
      </border>
    </dxf>
    <dxf>
      <font>
        <color indexed="9"/>
      </font>
      <fill>
        <patternFill patternType="solid">
          <fgColor indexed="64"/>
          <bgColor indexed="9"/>
        </patternFill>
      </fill>
    </dxf>
    <dxf>
      <fill>
        <patternFill patternType="solid">
          <fgColor indexed="64"/>
          <bgColor indexed="26"/>
        </patternFill>
      </fill>
    </dxf>
    <dxf>
      <fill>
        <patternFill>
          <fgColor indexed="64"/>
          <bgColor rgb="FFFFFF00"/>
        </patternFill>
      </fill>
    </dxf>
    <dxf>
      <border outline="0">
        <left style="thin">
          <color rgb="FFBFBFBF"/>
        </left>
      </border>
    </dxf>
    <dxf>
      <border outline="0">
        <right style="thin">
          <color rgb="FFBFBFBF"/>
        </right>
      </border>
    </dxf>
  </dxfs>
  <tableStyles count="1" defaultTableStyle="TableStyleMedium9" defaultPivotStyle="PivotStyleLight16">
    <tableStyle name="Invisible" pivot="0" table="0" count="0" xr9:uid="{03C9EA97-7DD6-4D05-81C3-46746158020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2.xml"/><Relationship Id="rId28" Type="http://schemas.microsoft.com/office/2017/06/relationships/rdRichValue" Target="richData/rdrichvalue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1.xml"/><Relationship Id="rId27" Type="http://schemas.openxmlformats.org/officeDocument/2006/relationships/sheetMetadata" Target="metadata.xml"/><Relationship Id="rId30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Sheet5!$D$13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chemeClr val="accent6"/>
            </a:solidFill>
          </c:spPr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Sheet5!$C$14:$C$15</c:f>
              <c:strCache>
                <c:ptCount val="2"/>
                <c:pt idx="0">
                  <c:v>NPL</c:v>
                </c:pt>
                <c:pt idx="1">
                  <c:v>PL</c:v>
                </c:pt>
              </c:strCache>
            </c:strRef>
          </c:cat>
          <c:val>
            <c:numRef>
              <c:f>Sheet5!$D$14:$D$15</c:f>
              <c:numCache>
                <c:formatCode>0%</c:formatCode>
                <c:ptCount val="2"/>
                <c:pt idx="0">
                  <c:v>0.05</c:v>
                </c:pt>
                <c:pt idx="1">
                  <c:v>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37-4534-B0DE-A1BAA06D73C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/>
            </a:pPr>
            <a:r>
              <a:rPr lang="en-US"/>
              <a:t>Total Collection by Branch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'Pivot Practice'!$B$20</c:f>
              <c:strCache>
                <c:ptCount val="1"/>
                <c:pt idx="0">
                  <c:v>Total Collection</c:v>
                </c:pt>
              </c:strCache>
            </c:strRef>
          </c:tx>
          <c:spPr>
            <a:ln>
              <a:prstDash val="solid"/>
            </a:ln>
          </c:spPr>
          <c:invertIfNegative val="1"/>
          <c:cat>
            <c:strRef>
              <c:f>'Pivot Practice'!$A$21:$A$24</c:f>
              <c:strCache>
                <c:ptCount val="4"/>
                <c:pt idx="0">
                  <c:v>Central</c:v>
                </c:pt>
                <c:pt idx="1">
                  <c:v>East</c:v>
                </c:pt>
                <c:pt idx="2">
                  <c:v>North</c:v>
                </c:pt>
                <c:pt idx="3">
                  <c:v>West</c:v>
                </c:pt>
              </c:strCache>
            </c:strRef>
          </c:cat>
          <c:val>
            <c:numRef>
              <c:f>'Pivot Practice'!$B$21:$B$24</c:f>
              <c:numCache>
                <c:formatCode>#,##0</c:formatCode>
                <c:ptCount val="4"/>
                <c:pt idx="0">
                  <c:v>24400</c:v>
                </c:pt>
                <c:pt idx="1">
                  <c:v>1700</c:v>
                </c:pt>
                <c:pt idx="2">
                  <c:v>11700</c:v>
                </c:pt>
                <c:pt idx="3">
                  <c:v>4300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FE-42AE-B622-A37627102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"/>
        <c:axId val="100"/>
      </c:barChart>
      <c:catAx>
        <c:axId val="1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Branch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1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Collection Amount</a:t>
                </a:r>
              </a:p>
            </c:rich>
          </c:tx>
          <c:overlay val="1"/>
        </c:title>
        <c:numFmt formatCode="#,##0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541020</xdr:colOff>
      <xdr:row>10</xdr:row>
      <xdr:rowOff>19050</xdr:rowOff>
    </xdr:from>
    <xdr:to>
      <xdr:col>7</xdr:col>
      <xdr:colOff>723900</xdr:colOff>
      <xdr:row>25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5E267FC-1B74-F0C4-6F97-2CEF7B5C9A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27</xdr:row>
      <xdr:rowOff>0</xdr:rowOff>
    </xdr:from>
    <xdr:ext cx="3960000" cy="252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SD_Anuja" refreshedDate="46185.513601620369" createdVersion="8" refreshedVersion="8" minRefreshableVersion="3" recordCount="7" xr:uid="{C1930BAF-5B08-49DC-8C00-9268E8DA4BDD}">
  <cacheSource type="worksheet">
    <worksheetSource ref="M4:R11" sheet="Pivot Source"/>
  </cacheSource>
  <cacheFields count="6">
    <cacheField name="Date" numFmtId="0">
      <sharedItems containsSemiMixedTypes="0" containsString="0" containsNumber="1" containsInteger="1" minValue="46027" maxValue="46069"/>
    </cacheField>
    <cacheField name="Branch" numFmtId="0">
      <sharedItems/>
    </cacheField>
    <cacheField name="Officer" numFmtId="0">
      <sharedItems/>
    </cacheField>
    <cacheField name="Member Type" numFmtId="0">
      <sharedItems/>
    </cacheField>
    <cacheField name="Product Type" numFmtId="0">
      <sharedItems/>
    </cacheField>
    <cacheField name="Loan Amount" numFmtId="0">
      <sharedItems containsSemiMixedTypes="0" containsString="0" containsNumber="1" containsInteger="1" minValue="0" maxValue="515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SD_Anuja" refreshedDate="46185.513925347223" createdVersion="8" refreshedVersion="8" minRefreshableVersion="3" recordCount="36" xr:uid="{D29B7E05-FF34-46E2-A534-E7D7486B879D}">
  <cacheSource type="worksheet">
    <worksheetSource name="PivotSourceData"/>
  </cacheSource>
  <cacheFields count="12">
    <cacheField name="Date" numFmtId="164">
      <sharedItems containsSemiMixedTypes="0" containsNonDate="0" containsDate="1" containsString="0" minDate="2026-01-05T00:00:00" maxDate="2026-09-08T00:00:00" count="36">
        <d v="2026-01-05T00:00:00"/>
        <d v="2026-01-12T00:00:00"/>
        <d v="2026-01-19T00:00:00"/>
        <d v="2026-01-26T00:00:00"/>
        <d v="2026-02-02T00:00:00"/>
        <d v="2026-02-09T00:00:00"/>
        <d v="2026-02-16T00:00:00"/>
        <d v="2026-02-23T00:00:00"/>
        <d v="2026-03-02T00:00:00"/>
        <d v="2026-03-09T00:00:00"/>
        <d v="2026-03-16T00:00:00"/>
        <d v="2026-03-23T00:00:00"/>
        <d v="2026-03-30T00:00:00"/>
        <d v="2026-04-06T00:00:00"/>
        <d v="2026-04-13T00:00:00"/>
        <d v="2026-04-20T00:00:00"/>
        <d v="2026-04-27T00:00:00"/>
        <d v="2026-05-04T00:00:00"/>
        <d v="2026-05-11T00:00:00"/>
        <d v="2026-05-18T00:00:00"/>
        <d v="2026-05-25T00:00:00"/>
        <d v="2026-06-01T00:00:00"/>
        <d v="2026-06-08T00:00:00"/>
        <d v="2026-06-15T00:00:00"/>
        <d v="2026-06-22T00:00:00"/>
        <d v="2026-06-29T00:00:00"/>
        <d v="2026-07-06T00:00:00"/>
        <d v="2026-07-13T00:00:00"/>
        <d v="2026-07-20T00:00:00"/>
        <d v="2026-07-27T00:00:00"/>
        <d v="2026-08-03T00:00:00"/>
        <d v="2026-08-10T00:00:00"/>
        <d v="2026-08-17T00:00:00"/>
        <d v="2026-08-24T00:00:00"/>
        <d v="2026-08-31T00:00:00"/>
        <d v="2026-09-07T00:00:00"/>
      </sharedItems>
      <fieldGroup par="11"/>
    </cacheField>
    <cacheField name="Branch" numFmtId="0">
      <sharedItems count="4">
        <s v="Central"/>
        <s v="North"/>
        <s v="East"/>
        <s v="West"/>
      </sharedItems>
    </cacheField>
    <cacheField name="Officer" numFmtId="0">
      <sharedItems count="4">
        <s v="Asha"/>
        <s v="Bikash"/>
        <s v="Deepa"/>
        <s v="Hari"/>
      </sharedItems>
    </cacheField>
    <cacheField name="Member Type" numFmtId="0">
      <sharedItems count="4">
        <s v="Regular"/>
        <s v="Women Group"/>
        <s v="Youth"/>
        <s v="Business"/>
      </sharedItems>
    </cacheField>
    <cacheField name="Product Type" numFmtId="0">
      <sharedItems count="4">
        <s v="Loan"/>
        <s v="Savings"/>
        <s v="Fixed Deposit"/>
        <s v="Share"/>
      </sharedItems>
    </cacheField>
    <cacheField name="Loan Amount" numFmtId="3">
      <sharedItems containsSemiMixedTypes="0" containsString="0" containsNumber="1" containsInteger="1" minValue="0" maxValue="62000"/>
    </cacheField>
    <cacheField name="Collection Amount" numFmtId="3">
      <sharedItems containsSemiMixedTypes="0" containsString="0" containsNumber="1" containsInteger="1" minValue="0" maxValue="2900"/>
    </cacheField>
    <cacheField name="Savings Amount" numFmtId="3">
      <sharedItems containsSemiMixedTypes="0" containsString="0" containsNumber="1" containsInteger="1" minValue="300" maxValue="5100"/>
    </cacheField>
    <cacheField name="Overdue Amount" numFmtId="3">
      <sharedItems containsSemiMixedTypes="0" containsString="0" containsNumber="1" containsInteger="1" minValue="0" maxValue="2700"/>
    </cacheField>
    <cacheField name="Status" numFmtId="0">
      <sharedItems/>
    </cacheField>
    <cacheField name="Days (Date)" numFmtId="0" databaseField="0">
      <fieldGroup base="0">
        <rangePr groupBy="days" startDate="2026-01-05T00:00:00" endDate="2026-09-08T00:00:00"/>
        <groupItems count="368">
          <s v="&lt;1/5/2026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9/8/2026"/>
        </groupItems>
      </fieldGroup>
    </cacheField>
    <cacheField name="Months (Date)" numFmtId="0" databaseField="0">
      <fieldGroup base="0">
        <rangePr groupBy="months" startDate="2026-01-05T00:00:00" endDate="2026-09-08T00:00:00"/>
        <groupItems count="14">
          <s v="&lt;1/5/202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9/8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n v="46027"/>
    <s v="Central"/>
    <s v="Asha"/>
    <s v="Regular"/>
    <s v="Loan"/>
    <n v="50000"/>
  </r>
  <r>
    <n v="46034"/>
    <s v="North"/>
    <s v="Bikash"/>
    <s v="Women Group"/>
    <s v="Savings"/>
    <n v="0"/>
  </r>
  <r>
    <n v="46041"/>
    <s v="East"/>
    <s v="Deepa"/>
    <s v="Youth"/>
    <s v="Fixed Deposit"/>
    <n v="0"/>
  </r>
  <r>
    <n v="46048"/>
    <s v="West"/>
    <s v="Hari"/>
    <s v="Business"/>
    <s v="Share"/>
    <n v="0"/>
  </r>
  <r>
    <n v="46055"/>
    <s v="Central"/>
    <s v="Asha"/>
    <s v="Regular"/>
    <s v="Loan"/>
    <n v="51500"/>
  </r>
  <r>
    <n v="46062"/>
    <s v="North"/>
    <s v="Bikash"/>
    <s v="Women Group"/>
    <s v="Savings"/>
    <n v="1500"/>
  </r>
  <r>
    <n v="46069"/>
    <s v="East"/>
    <s v="Deepa"/>
    <s v="Youth"/>
    <s v="Fixed Deposit"/>
    <n v="15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">
  <r>
    <x v="0"/>
    <x v="0"/>
    <x v="0"/>
    <x v="0"/>
    <x v="0"/>
    <n v="50000"/>
    <n v="2500"/>
    <n v="300"/>
    <n v="0"/>
    <s v="Current"/>
  </r>
  <r>
    <x v="1"/>
    <x v="1"/>
    <x v="1"/>
    <x v="1"/>
    <x v="1"/>
    <n v="0"/>
    <n v="1200"/>
    <n v="1550"/>
    <n v="900"/>
    <s v="Current"/>
  </r>
  <r>
    <x v="2"/>
    <x v="2"/>
    <x v="2"/>
    <x v="2"/>
    <x v="2"/>
    <n v="0"/>
    <n v="200"/>
    <n v="5100"/>
    <n v="2700"/>
    <s v="Current"/>
  </r>
  <r>
    <x v="3"/>
    <x v="3"/>
    <x v="3"/>
    <x v="3"/>
    <x v="3"/>
    <n v="0"/>
    <n v="600"/>
    <n v="700"/>
    <n v="300"/>
    <s v="Current"/>
  </r>
  <r>
    <x v="4"/>
    <x v="0"/>
    <x v="0"/>
    <x v="0"/>
    <x v="0"/>
    <n v="51500"/>
    <n v="2900"/>
    <n v="350"/>
    <n v="0"/>
    <s v="Current"/>
  </r>
  <r>
    <x v="5"/>
    <x v="1"/>
    <x v="1"/>
    <x v="1"/>
    <x v="1"/>
    <n v="1500"/>
    <n v="1100"/>
    <n v="1600"/>
    <n v="900"/>
    <s v="Current"/>
  </r>
  <r>
    <x v="6"/>
    <x v="2"/>
    <x v="2"/>
    <x v="2"/>
    <x v="2"/>
    <n v="1500"/>
    <n v="100"/>
    <n v="5000"/>
    <n v="2700"/>
    <s v="Current"/>
  </r>
  <r>
    <x v="7"/>
    <x v="3"/>
    <x v="3"/>
    <x v="3"/>
    <x v="3"/>
    <n v="1500"/>
    <n v="500"/>
    <n v="750"/>
    <n v="300"/>
    <s v="Current"/>
  </r>
  <r>
    <x v="8"/>
    <x v="0"/>
    <x v="0"/>
    <x v="0"/>
    <x v="0"/>
    <n v="53000"/>
    <n v="2800"/>
    <n v="400"/>
    <n v="0"/>
    <s v="Late"/>
  </r>
  <r>
    <x v="9"/>
    <x v="1"/>
    <x v="1"/>
    <x v="1"/>
    <x v="1"/>
    <n v="3000"/>
    <n v="1500"/>
    <n v="1500"/>
    <n v="900"/>
    <s v="Current"/>
  </r>
  <r>
    <x v="10"/>
    <x v="2"/>
    <x v="2"/>
    <x v="2"/>
    <x v="2"/>
    <n v="3000"/>
    <n v="0"/>
    <n v="5050"/>
    <n v="2700"/>
    <s v="Current"/>
  </r>
  <r>
    <x v="11"/>
    <x v="3"/>
    <x v="3"/>
    <x v="3"/>
    <x v="3"/>
    <n v="3000"/>
    <n v="400"/>
    <n v="800"/>
    <n v="300"/>
    <s v="Current"/>
  </r>
  <r>
    <x v="12"/>
    <x v="0"/>
    <x v="0"/>
    <x v="0"/>
    <x v="0"/>
    <n v="54500"/>
    <n v="2700"/>
    <n v="300"/>
    <n v="0"/>
    <s v="Critical"/>
  </r>
  <r>
    <x v="13"/>
    <x v="1"/>
    <x v="1"/>
    <x v="1"/>
    <x v="1"/>
    <n v="4500"/>
    <n v="1400"/>
    <n v="1550"/>
    <n v="900"/>
    <s v="Current"/>
  </r>
  <r>
    <x v="14"/>
    <x v="2"/>
    <x v="2"/>
    <x v="2"/>
    <x v="2"/>
    <n v="4500"/>
    <n v="400"/>
    <n v="5100"/>
    <n v="2700"/>
    <s v="Current"/>
  </r>
  <r>
    <x v="15"/>
    <x v="3"/>
    <x v="3"/>
    <x v="3"/>
    <x v="3"/>
    <n v="4500"/>
    <n v="300"/>
    <n v="700"/>
    <n v="300"/>
    <s v="Current"/>
  </r>
  <r>
    <x v="16"/>
    <x v="0"/>
    <x v="0"/>
    <x v="0"/>
    <x v="0"/>
    <n v="56000"/>
    <n v="2600"/>
    <n v="350"/>
    <n v="0"/>
    <s v="Critical"/>
  </r>
  <r>
    <x v="17"/>
    <x v="1"/>
    <x v="1"/>
    <x v="1"/>
    <x v="1"/>
    <n v="6000"/>
    <n v="1300"/>
    <n v="1600"/>
    <n v="900"/>
    <s v="Current"/>
  </r>
  <r>
    <x v="18"/>
    <x v="2"/>
    <x v="2"/>
    <x v="2"/>
    <x v="2"/>
    <n v="6000"/>
    <n v="300"/>
    <n v="5000"/>
    <n v="2700"/>
    <s v="Current"/>
  </r>
  <r>
    <x v="19"/>
    <x v="3"/>
    <x v="3"/>
    <x v="3"/>
    <x v="3"/>
    <n v="6000"/>
    <n v="700"/>
    <n v="750"/>
    <n v="300"/>
    <s v="Current"/>
  </r>
  <r>
    <x v="20"/>
    <x v="0"/>
    <x v="0"/>
    <x v="0"/>
    <x v="0"/>
    <n v="57500"/>
    <n v="2500"/>
    <n v="400"/>
    <n v="0"/>
    <s v="Current"/>
  </r>
  <r>
    <x v="21"/>
    <x v="1"/>
    <x v="1"/>
    <x v="1"/>
    <x v="1"/>
    <n v="7500"/>
    <n v="1200"/>
    <n v="1500"/>
    <n v="900"/>
    <s v="Current"/>
  </r>
  <r>
    <x v="22"/>
    <x v="2"/>
    <x v="2"/>
    <x v="2"/>
    <x v="2"/>
    <n v="7500"/>
    <n v="200"/>
    <n v="5050"/>
    <n v="2700"/>
    <s v="Current"/>
  </r>
  <r>
    <x v="23"/>
    <x v="3"/>
    <x v="3"/>
    <x v="3"/>
    <x v="3"/>
    <n v="7500"/>
    <n v="600"/>
    <n v="800"/>
    <n v="300"/>
    <s v="Current"/>
  </r>
  <r>
    <x v="24"/>
    <x v="0"/>
    <x v="0"/>
    <x v="0"/>
    <x v="0"/>
    <n v="59000"/>
    <n v="2900"/>
    <n v="300"/>
    <n v="0"/>
    <s v="Late"/>
  </r>
  <r>
    <x v="25"/>
    <x v="1"/>
    <x v="1"/>
    <x v="1"/>
    <x v="1"/>
    <n v="9000"/>
    <n v="1100"/>
    <n v="1550"/>
    <n v="900"/>
    <s v="Current"/>
  </r>
  <r>
    <x v="26"/>
    <x v="2"/>
    <x v="2"/>
    <x v="2"/>
    <x v="2"/>
    <n v="9000"/>
    <n v="100"/>
    <n v="5100"/>
    <n v="2700"/>
    <s v="Current"/>
  </r>
  <r>
    <x v="27"/>
    <x v="3"/>
    <x v="3"/>
    <x v="3"/>
    <x v="3"/>
    <n v="9000"/>
    <n v="500"/>
    <n v="700"/>
    <n v="300"/>
    <s v="Current"/>
  </r>
  <r>
    <x v="28"/>
    <x v="0"/>
    <x v="0"/>
    <x v="0"/>
    <x v="0"/>
    <n v="60500"/>
    <n v="2800"/>
    <n v="350"/>
    <n v="0"/>
    <s v="Late"/>
  </r>
  <r>
    <x v="29"/>
    <x v="1"/>
    <x v="1"/>
    <x v="1"/>
    <x v="1"/>
    <n v="10500"/>
    <n v="1500"/>
    <n v="1600"/>
    <n v="900"/>
    <s v="Current"/>
  </r>
  <r>
    <x v="30"/>
    <x v="2"/>
    <x v="2"/>
    <x v="2"/>
    <x v="2"/>
    <n v="10500"/>
    <n v="0"/>
    <n v="5000"/>
    <n v="2700"/>
    <s v="Current"/>
  </r>
  <r>
    <x v="31"/>
    <x v="3"/>
    <x v="3"/>
    <x v="3"/>
    <x v="3"/>
    <n v="10500"/>
    <n v="400"/>
    <n v="750"/>
    <n v="300"/>
    <s v="Current"/>
  </r>
  <r>
    <x v="32"/>
    <x v="0"/>
    <x v="0"/>
    <x v="0"/>
    <x v="0"/>
    <n v="62000"/>
    <n v="2700"/>
    <n v="400"/>
    <n v="0"/>
    <s v="Critical"/>
  </r>
  <r>
    <x v="33"/>
    <x v="1"/>
    <x v="1"/>
    <x v="1"/>
    <x v="1"/>
    <n v="12000"/>
    <n v="1400"/>
    <n v="1500"/>
    <n v="900"/>
    <s v="Current"/>
  </r>
  <r>
    <x v="34"/>
    <x v="2"/>
    <x v="2"/>
    <x v="2"/>
    <x v="2"/>
    <n v="12000"/>
    <n v="400"/>
    <n v="5050"/>
    <n v="2700"/>
    <s v="Current"/>
  </r>
  <r>
    <x v="35"/>
    <x v="3"/>
    <x v="3"/>
    <x v="3"/>
    <x v="3"/>
    <n v="12000"/>
    <n v="300"/>
    <n v="800"/>
    <n v="300"/>
    <s v="Curren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98BB54-2F6B-488B-9B6F-67FE2E312866}" name="PivotTable2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20" firstHeaderRow="1" firstDataRow="1" firstDataCol="0"/>
  <pivotFields count="6">
    <pivotField showAll="0"/>
    <pivotField showAll="0"/>
    <pivotField showAll="0"/>
    <pivotField showAll="0"/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A9676A-0924-4B2F-A719-AB090517D328}" name="PivotTable3" cacheId="1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H8" firstHeaderRow="0" firstDataRow="1" firstDataCol="4"/>
  <pivotFields count="12">
    <pivotField compact="0" numFmtId="164" outline="0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axis="axisRow" compact="0" outline="0" showAll="0" defaultSubtotal="0">
      <items count="4">
        <item x="0"/>
        <item x="2"/>
        <item x="1"/>
        <item x="3"/>
      </items>
    </pivotField>
    <pivotField axis="axisRow" compact="0" outline="0" showAll="0" defaultSubtotal="0">
      <items count="4">
        <item x="0"/>
        <item x="1"/>
        <item x="2"/>
        <item x="3"/>
      </items>
    </pivotField>
    <pivotField axis="axisRow" compact="0" outline="0" showAll="0" defaultSubtotal="0">
      <items count="4">
        <item x="3"/>
        <item x="0"/>
        <item x="1"/>
        <item x="2"/>
      </items>
    </pivotField>
    <pivotField axis="axisRow" compact="0" outline="0" showAll="0" defaultSubtotal="0">
      <items count="4">
        <item x="2"/>
        <item x="0"/>
        <item x="1"/>
        <item x="3"/>
      </items>
    </pivotField>
    <pivotField dataField="1" compact="0" numFmtId="3" outline="0" showAll="0" defaultSubtotal="0"/>
    <pivotField dataField="1" compact="0" numFmtId="3" outline="0" showAll="0" defaultSubtotal="0"/>
    <pivotField dataField="1" compact="0" numFmtId="3" outline="0" showAll="0" defaultSubtotal="0"/>
    <pivotField dataField="1" compact="0" numFmtId="3" outline="0" showAll="0" defaultSubtotal="0"/>
    <pivotField compact="0" outline="0" showAll="0" defaultSubtotal="0"/>
    <pivotField compact="0" outline="0" showAll="0" defaultSubtotal="0">
      <items count="368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</items>
    </pivotField>
    <pivotField compact="0" outline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4">
    <field x="1"/>
    <field x="2"/>
    <field x="3"/>
    <field x="4"/>
  </rowFields>
  <rowItems count="5">
    <i>
      <x/>
      <x/>
      <x v="1"/>
      <x v="1"/>
    </i>
    <i>
      <x v="1"/>
      <x v="2"/>
      <x v="3"/>
      <x/>
    </i>
    <i>
      <x v="2"/>
      <x v="1"/>
      <x v="2"/>
      <x v="2"/>
    </i>
    <i>
      <x v="3"/>
      <x v="3"/>
      <x/>
      <x v="3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Loan Amount" fld="5" baseField="0" baseItem="0" numFmtId="3"/>
    <dataField name="Sum of Collection Amount" fld="6" baseField="0" baseItem="0" numFmtId="3"/>
    <dataField name="Sum of Savings Amount" fld="7" baseField="0" baseItem="0" numFmtId="3"/>
    <dataField name="Sum of Overdue Amount" fld="8" baseField="0" baseItem="0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6">
  <rv s="0">
    <v>3</v>
    <v>8</v>
    <v>6</v>
    <v>1</v>
  </rv>
  <rv s="0">
    <v>0</v>
    <v>8</v>
    <v>3</v>
    <v>1</v>
  </rv>
  <rv s="0">
    <v>0</v>
    <v>8</v>
    <v>4</v>
    <v>1</v>
  </rv>
  <rv s="0">
    <v>1</v>
    <v>8</v>
    <v>2</v>
    <v>1</v>
  </rv>
  <rv s="0">
    <v>0</v>
    <v>8</v>
    <v>6</v>
    <v>1</v>
  </rv>
  <rv s="0">
    <v>0</v>
    <v>8</v>
    <v>2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tartIntro" displayName="StartIntro" ref="A4:B10">
  <autoFilter ref="A4:B10" xr:uid="{00000000-0009-0000-0100-000001000000}"/>
  <tableColumns count="2">
    <tableColumn id="1" xr3:uid="{00000000-0010-0000-0000-000001000000}" name="Topic"/>
    <tableColumn id="2" xr3:uid="{00000000-0010-0000-0000-000002000000}" name="Explanation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FinData" displayName="FinData" ref="A4:E5">
  <autoFilter ref="A4:E5" xr:uid="{00000000-0009-0000-0100-00000A000000}"/>
  <tableColumns count="5">
    <tableColumn id="1" xr3:uid="{00000000-0010-0000-0900-000001000000}" name="Annual Rate %"/>
    <tableColumn id="2" xr3:uid="{00000000-0010-0000-0900-000002000000}" name="Years"/>
    <tableColumn id="3" xr3:uid="{00000000-0010-0000-0900-000003000000}" name="Loan Amount"/>
    <tableColumn id="4" xr3:uid="{00000000-0010-0000-0900-000004000000}" name="Monthly Deposit"/>
    <tableColumn id="5" xr3:uid="{00000000-0010-0000-0900-000005000000}" name="Future Amount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PivotSourceData" displayName="PivotSourceData" ref="A4:J40">
  <autoFilter ref="A4:J40" xr:uid="{00000000-0009-0000-0100-00000C000000}"/>
  <tableColumns count="10">
    <tableColumn id="1" xr3:uid="{00000000-0010-0000-0B00-000001000000}" name="Date"/>
    <tableColumn id="2" xr3:uid="{00000000-0010-0000-0B00-000002000000}" name="Branch"/>
    <tableColumn id="3" xr3:uid="{00000000-0010-0000-0B00-000003000000}" name="Officer"/>
    <tableColumn id="4" xr3:uid="{00000000-0010-0000-0B00-000004000000}" name="Member Type"/>
    <tableColumn id="5" xr3:uid="{00000000-0010-0000-0B00-000005000000}" name="Product Type"/>
    <tableColumn id="6" xr3:uid="{00000000-0010-0000-0B00-000006000000}" name="Loan Amount"/>
    <tableColumn id="7" xr3:uid="{00000000-0010-0000-0B00-000007000000}" name="Collection Amount"/>
    <tableColumn id="8" xr3:uid="{00000000-0010-0000-0B00-000008000000}" name="Savings Amount"/>
    <tableColumn id="9" xr3:uid="{00000000-0010-0000-0B00-000009000000}" name="Overdue Amount"/>
    <tableColumn id="10" xr3:uid="{00000000-0010-0000-0B00-00000A000000}" name="Statu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PivotInstr" displayName="PivotInstr" ref="A4:B9">
  <autoFilter ref="A4:B9" xr:uid="{00000000-0009-0000-0100-00000D000000}"/>
  <tableColumns count="2">
    <tableColumn id="1" xr3:uid="{00000000-0010-0000-0C00-000001000000}" name="Step"/>
    <tableColumn id="2" xr3:uid="{00000000-0010-0000-0C00-000002000000}" name="Instruction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PivotExpBranch" displayName="PivotExpBranch" ref="A20:B24">
  <autoFilter ref="A20:B24" xr:uid="{00000000-0009-0000-0100-00000E000000}"/>
  <tableColumns count="2">
    <tableColumn id="1" xr3:uid="{00000000-0010-0000-0D00-000001000000}" name="Branch"/>
    <tableColumn id="2" xr3:uid="{00000000-0010-0000-0D00-000002000000}" name="Total Collection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PivotExpOfficer" displayName="PivotExpOfficer" ref="A29:B33">
  <autoFilter ref="A29:B33" xr:uid="{00000000-0009-0000-0100-00000F000000}"/>
  <tableColumns count="2">
    <tableColumn id="1" xr3:uid="{00000000-0010-0000-0E00-000001000000}" name="Officer"/>
    <tableColumn id="2" xr3:uid="{00000000-0010-0000-0E00-000002000000}" name="Total Collection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rainerFlow" displayName="TrainerFlow" ref="A4:B9">
  <autoFilter ref="A4:B9" xr:uid="{00000000-0009-0000-0100-000010000000}"/>
  <tableColumns count="2">
    <tableColumn id="1" xr3:uid="{00000000-0010-0000-0F00-000001000000}" name="Session"/>
    <tableColumn id="2" xr3:uid="{00000000-0010-0000-0F00-000002000000}" name="Suggested Flow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TrainerMistakes" displayName="TrainerMistakes" ref="A12:B18">
  <autoFilter ref="A12:B18" xr:uid="{00000000-0009-0000-0100-000011000000}"/>
  <tableColumns count="2">
    <tableColumn id="1" xr3:uid="{00000000-0010-0000-1000-000001000000}" name="Area"/>
    <tableColumn id="2" xr3:uid="{00000000-0010-0000-1000-000002000000}" name="What to Emphasize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1000000}" name="TrainerAnswers" displayName="TrainerAnswers" ref="A21:C30">
  <autoFilter ref="A21:C30" xr:uid="{00000000-0009-0000-0100-000012000000}"/>
  <tableColumns count="3">
    <tableColumn id="1" xr3:uid="{00000000-0010-0000-1100-000001000000}" name="Exercise No."/>
    <tableColumn id="2" xr3:uid="{00000000-0010-0000-1100-000002000000}" name="Suggested Answer Formula / Setup"/>
    <tableColumn id="3" xr3:uid="{00000000-0010-0000-1100-000003000000}" name="Expected Resul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StartLegend" displayName="StartLegend" ref="A13:B16">
  <autoFilter ref="A13:B16" xr:uid="{00000000-0009-0000-0100-000002000000}"/>
  <tableColumns count="2">
    <tableColumn id="1" xr3:uid="{00000000-0010-0000-0100-000001000000}" name="Level"/>
    <tableColumn id="2" xr3:uid="{00000000-0010-0000-0100-000002000000}" name="Meaning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BasicSkillData" displayName="BasicSkillData" ref="A4:F9">
  <autoFilter ref="A4:F9" xr:uid="{00000000-0009-0000-0100-000003000000}"/>
  <tableColumns count="6">
    <tableColumn id="1" xr3:uid="{00000000-0010-0000-0200-000001000000}" name="Member ID"/>
    <tableColumn id="2" xr3:uid="{00000000-0010-0000-0200-000002000000}" name="Branch"/>
    <tableColumn id="3" xr3:uid="{00000000-0010-0000-0200-000003000000}" name="Product"/>
    <tableColumn id="4" xr3:uid="{00000000-0010-0000-0200-000004000000}" name="Amount"/>
    <tableColumn id="5" xr3:uid="{00000000-0010-0000-0200-000005000000}" name="Rate %"/>
    <tableColumn id="6" xr3:uid="{00000000-0010-0000-0200-000006000000}" name="Statu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MathData" displayName="MathData" ref="A4:D10" totalsRowCount="1">
  <autoFilter ref="A4:D9" xr:uid="{00000000-0009-0000-0100-000004000000}"/>
  <tableColumns count="4">
    <tableColumn id="1" xr3:uid="{00000000-0010-0000-0300-000001000000}" name="Branch"/>
    <tableColumn id="2" xr3:uid="{00000000-0010-0000-0300-000002000000}" name="Officer"/>
    <tableColumn id="3" xr3:uid="{00000000-0010-0000-0300-000003000000}" name="Account Count"/>
    <tableColumn id="4" xr3:uid="{00000000-0010-0000-0300-000004000000}" name="Collection Amount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LogicalData" displayName="LogicalData" ref="A4:D9">
  <autoFilter ref="A4:D9" xr:uid="{00000000-0009-0000-0100-000005000000}"/>
  <tableColumns count="4">
    <tableColumn id="1" xr3:uid="{00000000-0010-0000-0400-000001000000}" name="Member ID"/>
    <tableColumn id="2" xr3:uid="{00000000-0010-0000-0400-000002000000}" name="Outstanding Balance"/>
    <tableColumn id="3" xr3:uid="{00000000-0010-0000-0400-000003000000}" name="Days Past Due"/>
    <tableColumn id="4" xr3:uid="{00000000-0010-0000-0400-000004000000}" name="Approval Status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extData" displayName="TextData" ref="A4:D9">
  <autoFilter ref="A4:D9" xr:uid="{00000000-0009-0000-0100-000006000000}"/>
  <tableColumns count="4">
    <tableColumn id="1" xr3:uid="{00000000-0010-0000-0500-000001000000}" name="Full Name"/>
    <tableColumn id="2" xr3:uid="{00000000-0010-0000-0500-000002000000}" name="Phone"/>
    <tableColumn id="3" xr3:uid="{00000000-0010-0000-0500-000003000000}" name="Account Code"/>
    <tableColumn id="4" xr3:uid="{00000000-0010-0000-0500-000004000000}" name="Raw Text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DateData" displayName="DateData" ref="A4:E9">
  <autoFilter ref="A4:E9" xr:uid="{00000000-0009-0000-0100-000007000000}"/>
  <tableColumns count="5">
    <tableColumn id="1" xr3:uid="{00000000-0010-0000-0600-000001000000}" name="Member ID"/>
    <tableColumn id="2" xr3:uid="{00000000-0010-0000-0600-000002000000}" name="Join Date"/>
    <tableColumn id="3" xr3:uid="{00000000-0010-0000-0600-000003000000}" name="Maturity Date"/>
    <tableColumn id="4" xr3:uid="{00000000-0010-0000-0600-000004000000}" name="Last Payment Date"/>
    <tableColumn id="5" xr3:uid="{00000000-0010-0000-0600-000005000000}" name="Installment Number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LookupData" displayName="LookupData" ref="A4:E9">
  <autoFilter ref="A4:E9" xr:uid="{00000000-0009-0000-0100-000008000000}"/>
  <tableColumns count="5">
    <tableColumn id="1" xr3:uid="{00000000-0010-0000-0700-000001000000}" name="Code"/>
    <tableColumn id="2" xr3:uid="{00000000-0010-0000-0700-000002000000}" name="Product Name" dataDxfId="14"/>
    <tableColumn id="3" xr3:uid="{00000000-0010-0000-0700-000003000000}" name="Rate %" dataDxfId="12"/>
    <tableColumn id="4" xr3:uid="{00000000-0010-0000-0700-000004000000}" name="Term Months" dataDxfId="13"/>
    <tableColumn id="5" xr3:uid="{00000000-0010-0000-0700-000005000000}" name="Type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CondData" displayName="CondData" ref="A4:E10">
  <autoFilter ref="A4:E10" xr:uid="{00000000-0009-0000-0100-000009000000}"/>
  <tableColumns count="5">
    <tableColumn id="1" xr3:uid="{00000000-0010-0000-0800-000001000000}" name="Branch"/>
    <tableColumn id="2" xr3:uid="{00000000-0010-0000-0800-000002000000}" name="Officer"/>
    <tableColumn id="3" xr3:uid="{00000000-0010-0000-0800-000003000000}" name="Product"/>
    <tableColumn id="4" xr3:uid="{00000000-0010-0000-0800-000004000000}" name="Amount"/>
    <tableColumn id="5" xr3:uid="{00000000-0010-0000-0800-000005000000}" name="Statu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table" Target="../tables/table12.xml"/><Relationship Id="rId1" Type="http://schemas.openxmlformats.org/officeDocument/2006/relationships/drawing" Target="../drawings/drawing2.xml"/><Relationship Id="rId4" Type="http://schemas.openxmlformats.org/officeDocument/2006/relationships/table" Target="../tables/table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table" Target="../tables/table16.xml"/><Relationship Id="rId1" Type="http://schemas.openxmlformats.org/officeDocument/2006/relationships/table" Target="../tables/table1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workbookViewId="0">
      <pane ySplit="3" topLeftCell="A4" activePane="bottomLeft" state="frozen"/>
      <selection pane="bottomLeft" activeCell="B16" sqref="B16"/>
    </sheetView>
  </sheetViews>
  <sheetFormatPr defaultRowHeight="14.4" x14ac:dyDescent="0.3"/>
  <cols>
    <col min="1" max="1" width="20" customWidth="1"/>
    <col min="2" max="2" width="48" customWidth="1"/>
    <col min="3" max="7" width="12" customWidth="1"/>
    <col min="8" max="8" width="24" customWidth="1"/>
  </cols>
  <sheetData>
    <row r="1" spans="1:8" ht="24" customHeight="1" x14ac:dyDescent="0.3">
      <c r="A1" s="25" t="s">
        <v>0</v>
      </c>
      <c r="B1" s="23"/>
      <c r="C1" s="23"/>
      <c r="D1" s="23"/>
      <c r="E1" s="23"/>
      <c r="F1" s="23"/>
      <c r="G1" s="23"/>
      <c r="H1" s="23"/>
    </row>
    <row r="3" spans="1:8" x14ac:dyDescent="0.3">
      <c r="A3" s="22" t="s">
        <v>1</v>
      </c>
      <c r="B3" s="23"/>
      <c r="C3" s="23"/>
      <c r="D3" s="23"/>
      <c r="E3" s="23"/>
      <c r="F3" s="23"/>
      <c r="G3" s="23"/>
      <c r="H3" s="23"/>
    </row>
    <row r="4" spans="1:8" x14ac:dyDescent="0.3">
      <c r="A4" s="1" t="s">
        <v>2</v>
      </c>
      <c r="B4" s="1" t="s">
        <v>3</v>
      </c>
    </row>
    <row r="5" spans="1:8" ht="43.2" x14ac:dyDescent="0.3">
      <c r="A5" s="2" t="s">
        <v>4</v>
      </c>
      <c r="B5" s="2" t="s">
        <v>5</v>
      </c>
    </row>
    <row r="6" spans="1:8" ht="28.8" x14ac:dyDescent="0.3">
      <c r="A6" s="2" t="s">
        <v>6</v>
      </c>
      <c r="B6" s="2" t="s">
        <v>7</v>
      </c>
    </row>
    <row r="7" spans="1:8" ht="43.2" x14ac:dyDescent="0.3">
      <c r="A7" s="2" t="s">
        <v>8</v>
      </c>
      <c r="B7" s="2" t="s">
        <v>9</v>
      </c>
    </row>
    <row r="8" spans="1:8" ht="57.6" x14ac:dyDescent="0.3">
      <c r="A8" s="2" t="s">
        <v>10</v>
      </c>
      <c r="B8" s="2" t="s">
        <v>11</v>
      </c>
    </row>
    <row r="9" spans="1:8" ht="43.2" x14ac:dyDescent="0.3">
      <c r="A9" s="2" t="s">
        <v>12</v>
      </c>
      <c r="B9" s="2" t="s">
        <v>13</v>
      </c>
    </row>
    <row r="10" spans="1:8" ht="43.2" x14ac:dyDescent="0.3">
      <c r="A10" s="2" t="s">
        <v>14</v>
      </c>
      <c r="B10" s="2" t="s">
        <v>15</v>
      </c>
    </row>
    <row r="12" spans="1:8" x14ac:dyDescent="0.3">
      <c r="A12" s="22" t="s">
        <v>16</v>
      </c>
      <c r="B12" s="23"/>
      <c r="C12" s="23"/>
      <c r="D12" s="23"/>
      <c r="E12" s="23"/>
      <c r="F12" s="23"/>
      <c r="G12" s="23"/>
      <c r="H12" s="23"/>
    </row>
    <row r="13" spans="1:8" x14ac:dyDescent="0.3">
      <c r="A13" s="1" t="s">
        <v>17</v>
      </c>
      <c r="B13" s="1" t="s">
        <v>18</v>
      </c>
    </row>
    <row r="14" spans="1:8" x14ac:dyDescent="0.3">
      <c r="A14" s="3" t="s">
        <v>19</v>
      </c>
      <c r="B14" s="2" t="s">
        <v>20</v>
      </c>
    </row>
    <row r="15" spans="1:8" x14ac:dyDescent="0.3">
      <c r="A15" s="4" t="s">
        <v>21</v>
      </c>
      <c r="B15" s="2" t="s">
        <v>22</v>
      </c>
    </row>
    <row r="16" spans="1:8" ht="28.8" x14ac:dyDescent="0.3">
      <c r="A16" s="5" t="s">
        <v>23</v>
      </c>
      <c r="B16" s="2" t="s">
        <v>24</v>
      </c>
    </row>
    <row r="18" spans="1:8" x14ac:dyDescent="0.3">
      <c r="A18" s="24" t="s">
        <v>25</v>
      </c>
      <c r="B18" s="23"/>
      <c r="C18" s="23"/>
      <c r="D18" s="23"/>
      <c r="E18" s="23"/>
      <c r="F18" s="23"/>
      <c r="G18" s="23"/>
      <c r="H18" s="23"/>
    </row>
  </sheetData>
  <mergeCells count="4">
    <mergeCell ref="A12:H12"/>
    <mergeCell ref="A18:H18"/>
    <mergeCell ref="A3:H3"/>
    <mergeCell ref="A1:H1"/>
  </mergeCells>
  <pageMargins left="0.75" right="0.75" top="1" bottom="1" header="0.5" footer="0.5"/>
  <tableParts count="2">
    <tablePart r:id="rId1"/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37AFA-A3B2-40E8-950F-1EF0DCAA9BE1}">
  <dimension ref="A1:J497"/>
  <sheetViews>
    <sheetView showGridLines="0" workbookViewId="0">
      <pane ySplit="17" topLeftCell="A18" activePane="bottomLeft" state="frozenSplit"/>
      <selection pane="bottomLeft" activeCell="D8" sqref="D8"/>
    </sheetView>
  </sheetViews>
  <sheetFormatPr defaultColWidth="9.109375" defaultRowHeight="13.8" x14ac:dyDescent="0.3"/>
  <cols>
    <col min="1" max="1" width="6.33203125" style="32" customWidth="1"/>
    <col min="2" max="2" width="15.6640625" style="31" customWidth="1"/>
    <col min="3" max="3" width="21.6640625" style="31" customWidth="1"/>
    <col min="4" max="8" width="14.6640625" style="31" customWidth="1"/>
    <col min="9" max="10" width="21.6640625" style="31" customWidth="1"/>
    <col min="11" max="16384" width="9.109375" style="30"/>
  </cols>
  <sheetData>
    <row r="1" spans="1:10" ht="24" customHeight="1" x14ac:dyDescent="0.4">
      <c r="A1" s="67" t="s">
        <v>1060</v>
      </c>
      <c r="B1" s="30"/>
      <c r="C1" s="30"/>
      <c r="D1" s="30"/>
      <c r="E1" s="51"/>
      <c r="F1" s="51"/>
      <c r="G1" s="51"/>
      <c r="H1" s="51"/>
      <c r="I1" s="51"/>
      <c r="J1" s="51"/>
    </row>
    <row r="2" spans="1:10" ht="3" customHeight="1" x14ac:dyDescent="0.3">
      <c r="A2" s="47"/>
      <c r="B2" s="46"/>
      <c r="C2" s="46"/>
      <c r="D2" s="46"/>
      <c r="E2" s="46"/>
      <c r="F2" s="46"/>
      <c r="G2" s="46"/>
      <c r="H2" s="46"/>
      <c r="I2" s="46"/>
      <c r="J2" s="46"/>
    </row>
    <row r="3" spans="1:10" ht="20.25" customHeight="1" x14ac:dyDescent="0.3">
      <c r="A3" s="51"/>
      <c r="B3" s="48"/>
      <c r="C3" s="48"/>
      <c r="D3" s="48"/>
      <c r="E3" s="48"/>
      <c r="F3" s="48"/>
      <c r="G3" s="48"/>
      <c r="H3" s="48"/>
      <c r="I3" s="48"/>
      <c r="J3" s="48"/>
    </row>
    <row r="4" spans="1:10" ht="14.25" customHeight="1" x14ac:dyDescent="0.3">
      <c r="A4" s="51"/>
      <c r="B4" s="66" t="s">
        <v>1059</v>
      </c>
      <c r="C4" s="65"/>
      <c r="D4" s="64"/>
      <c r="E4" s="51"/>
      <c r="F4" s="30"/>
      <c r="G4" s="30"/>
      <c r="H4" s="66" t="s">
        <v>1058</v>
      </c>
      <c r="I4" s="65"/>
      <c r="J4" s="64"/>
    </row>
    <row r="5" spans="1:10" x14ac:dyDescent="0.3">
      <c r="A5" s="51"/>
      <c r="B5" s="60"/>
      <c r="C5" s="59" t="s">
        <v>1057</v>
      </c>
      <c r="D5" s="54">
        <v>50000</v>
      </c>
      <c r="E5" s="51"/>
      <c r="F5" s="30"/>
      <c r="G5" s="30"/>
      <c r="H5" s="60"/>
      <c r="I5" s="59" t="s">
        <v>1056</v>
      </c>
      <c r="J5" s="57">
        <f>IF(Values_Entered,-PMT(Interest_Rate/Num_Pmt_Per_Year,Loan_Years*Num_Pmt_Per_Year,Loan_Amount),"")</f>
        <v>2418.3976845093252</v>
      </c>
    </row>
    <row r="6" spans="1:10" x14ac:dyDescent="0.3">
      <c r="A6" s="51"/>
      <c r="B6" s="60"/>
      <c r="C6" s="59" t="s">
        <v>1055</v>
      </c>
      <c r="D6" s="63">
        <v>0.14749999999999999</v>
      </c>
      <c r="E6" s="51"/>
      <c r="F6" s="30"/>
      <c r="G6" s="30"/>
      <c r="H6" s="60"/>
      <c r="I6" s="59" t="s">
        <v>1054</v>
      </c>
      <c r="J6" s="62">
        <f>IF(Values_Entered,Loan_Years*Num_Pmt_Per_Year,"")</f>
        <v>24</v>
      </c>
    </row>
    <row r="7" spans="1:10" x14ac:dyDescent="0.3">
      <c r="A7" s="51"/>
      <c r="B7" s="60"/>
      <c r="C7" s="59" t="s">
        <v>1053</v>
      </c>
      <c r="D7" s="61">
        <v>2</v>
      </c>
      <c r="E7" s="51"/>
      <c r="F7" s="30"/>
      <c r="G7" s="30"/>
      <c r="H7" s="60"/>
      <c r="I7" s="59" t="s">
        <v>1052</v>
      </c>
      <c r="J7" s="62">
        <f>IF(Values_Entered,Number_of_Payments,"")</f>
        <v>24</v>
      </c>
    </row>
    <row r="8" spans="1:10" x14ac:dyDescent="0.3">
      <c r="A8" s="51"/>
      <c r="B8" s="60"/>
      <c r="C8" s="59" t="s">
        <v>1051</v>
      </c>
      <c r="D8" s="61">
        <v>12</v>
      </c>
      <c r="E8" s="51"/>
      <c r="F8" s="30"/>
      <c r="G8" s="30"/>
      <c r="H8" s="60"/>
      <c r="I8" s="59" t="s">
        <v>1050</v>
      </c>
      <c r="J8" s="57">
        <f>IF(Values_Entered,SUMIF(Beg_Bal,"&gt;0",Extra_Pay),"")</f>
        <v>0</v>
      </c>
    </row>
    <row r="9" spans="1:10" x14ac:dyDescent="0.3">
      <c r="A9" s="51"/>
      <c r="B9" s="60"/>
      <c r="C9" s="59" t="s">
        <v>1049</v>
      </c>
      <c r="D9" s="58">
        <v>45383</v>
      </c>
      <c r="E9" s="51"/>
      <c r="F9" s="30"/>
      <c r="G9" s="30"/>
      <c r="H9" s="56"/>
      <c r="I9" s="55" t="s">
        <v>1048</v>
      </c>
      <c r="J9" s="57">
        <f>IF(Values_Entered,SUMIF(Beg_Bal,"&gt;0",Int),"")</f>
        <v>8041.5444282238004</v>
      </c>
    </row>
    <row r="10" spans="1:10" x14ac:dyDescent="0.3">
      <c r="A10" s="51"/>
      <c r="B10" s="56"/>
      <c r="C10" s="55" t="s">
        <v>1047</v>
      </c>
      <c r="D10" s="54"/>
      <c r="E10" s="51"/>
      <c r="F10" s="48"/>
      <c r="G10" s="48"/>
      <c r="H10" s="48"/>
      <c r="I10" s="48"/>
      <c r="J10" s="51"/>
    </row>
    <row r="11" spans="1:10" x14ac:dyDescent="0.3">
      <c r="A11" s="51"/>
      <c r="B11" s="48"/>
      <c r="C11" s="48"/>
      <c r="D11" s="48"/>
      <c r="E11" s="48"/>
      <c r="F11" s="48"/>
      <c r="G11" s="48"/>
      <c r="H11" s="48"/>
      <c r="I11" s="48"/>
      <c r="J11" s="48"/>
    </row>
    <row r="12" spans="1:10" x14ac:dyDescent="0.3">
      <c r="A12" s="51"/>
      <c r="B12" s="50" t="s">
        <v>1046</v>
      </c>
      <c r="C12" s="53"/>
      <c r="D12" s="52"/>
      <c r="E12" s="48"/>
      <c r="F12" s="48"/>
      <c r="G12" s="48"/>
      <c r="H12" s="48"/>
      <c r="I12" s="48"/>
      <c r="J12" s="48"/>
    </row>
    <row r="13" spans="1:10" x14ac:dyDescent="0.3">
      <c r="A13" s="51"/>
      <c r="B13" s="50"/>
      <c r="C13" s="49"/>
      <c r="D13" s="49"/>
      <c r="E13" s="48"/>
      <c r="F13" s="48"/>
      <c r="G13" s="48"/>
      <c r="H13" s="48"/>
      <c r="I13" s="48"/>
      <c r="J13" s="48"/>
    </row>
    <row r="14" spans="1:10" ht="6" customHeight="1" x14ac:dyDescent="0.3">
      <c r="A14" s="47"/>
      <c r="B14" s="46"/>
      <c r="C14" s="46"/>
      <c r="D14" s="46"/>
      <c r="E14" s="46"/>
      <c r="F14" s="46"/>
      <c r="G14" s="46"/>
      <c r="H14" s="46"/>
      <c r="I14" s="46"/>
      <c r="J14" s="46"/>
    </row>
    <row r="15" spans="1:10" ht="3.75" customHeight="1" x14ac:dyDescent="0.3">
      <c r="A15" s="45"/>
      <c r="B15" s="44"/>
      <c r="C15" s="44"/>
      <c r="D15" s="44"/>
      <c r="E15" s="44"/>
      <c r="F15" s="44"/>
      <c r="G15" s="44"/>
      <c r="H15" s="44"/>
      <c r="I15" s="44"/>
      <c r="J15" s="44"/>
    </row>
    <row r="16" spans="1:10" s="37" customFormat="1" ht="27.6" x14ac:dyDescent="0.3">
      <c r="A16" s="43" t="s">
        <v>1045</v>
      </c>
      <c r="B16" s="42" t="s">
        <v>1044</v>
      </c>
      <c r="C16" s="42" t="s">
        <v>1043</v>
      </c>
      <c r="D16" s="42" t="s">
        <v>1042</v>
      </c>
      <c r="E16" s="42" t="s">
        <v>1041</v>
      </c>
      <c r="F16" s="42" t="s">
        <v>1040</v>
      </c>
      <c r="G16" s="42" t="s">
        <v>1039</v>
      </c>
      <c r="H16" s="42" t="s">
        <v>1038</v>
      </c>
      <c r="I16" s="42" t="s">
        <v>1037</v>
      </c>
      <c r="J16" s="41" t="s">
        <v>1036</v>
      </c>
    </row>
    <row r="17" spans="1:10" s="37" customFormat="1" ht="6" customHeight="1" x14ac:dyDescent="0.3">
      <c r="A17" s="40"/>
      <c r="B17" s="39"/>
      <c r="C17" s="39"/>
      <c r="D17" s="39"/>
      <c r="E17" s="39"/>
      <c r="F17" s="39"/>
      <c r="G17" s="39"/>
      <c r="H17" s="39"/>
      <c r="I17" s="39"/>
      <c r="J17" s="38"/>
    </row>
    <row r="18" spans="1:10" s="37" customFormat="1" x14ac:dyDescent="0.3">
      <c r="A18" s="36">
        <f>IF(Values_Entered,1,"")</f>
        <v>1</v>
      </c>
      <c r="B18" s="35">
        <f>IF(Pay_Num&lt;&gt;"",DATE(YEAR(Loan_Start),MONTH(Loan_Start)+(Pay_Num)*12/Num_Pmt_Per_Year,DAY(Loan_Start)),"")</f>
        <v>45413</v>
      </c>
      <c r="C18" s="70">
        <f>IF(Values_Entered,Loan_Amount,"")</f>
        <v>50000</v>
      </c>
      <c r="D18" s="70">
        <f>IF(Pay_Num&lt;&gt;"",Scheduled_Monthly_Payment,"")</f>
        <v>2418.3976845093252</v>
      </c>
      <c r="E18" s="71">
        <f>IF(AND(Pay_Num&lt;&gt;"",Sched_Pay+Scheduled_Extra_Payments&lt;Beg_Bal),Scheduled_Extra_Payments,IF(AND(Pay_Num&lt;&gt;"",Beg_Bal-Sched_Pay&gt;0),Beg_Bal-Sched_Pay,IF(Pay_Num&lt;&gt;"",0,"")))</f>
        <v>0</v>
      </c>
      <c r="F18" s="70">
        <f>IF(AND(Pay_Num&lt;&gt;"",Sched_Pay+Extra_Pay&lt;Beg_Bal),Sched_Pay+Extra_Pay,IF(Pay_Num&lt;&gt;"",Beg_Bal,""))</f>
        <v>2418.3976845093252</v>
      </c>
      <c r="G18" s="70">
        <f>IF(Pay_Num&lt;&gt;"",Total_Pay-Int,"")</f>
        <v>1803.814351175992</v>
      </c>
      <c r="H18" s="70">
        <f>IF(Pay_Num&lt;&gt;"",Beg_Bal*(Interest_Rate/Num_Pmt_Per_Year),"")</f>
        <v>614.58333333333326</v>
      </c>
      <c r="I18" s="70">
        <f>IF(AND(Pay_Num&lt;&gt;"",Sched_Pay+Extra_Pay&lt;Beg_Bal),Beg_Bal-Princ,IF(Pay_Num&lt;&gt;"",0,""))</f>
        <v>48196.185648824008</v>
      </c>
      <c r="J18" s="70">
        <f>SUM($H$18:$H18)</f>
        <v>614.58333333333326</v>
      </c>
    </row>
    <row r="19" spans="1:10" s="37" customFormat="1" ht="12.75" customHeight="1" x14ac:dyDescent="0.3">
      <c r="A19" s="36">
        <f>IF(Values_Entered,A18+1,"")</f>
        <v>2</v>
      </c>
      <c r="B19" s="35">
        <f>IF(Pay_Num&lt;&gt;"",DATE(YEAR(Loan_Start),MONTH(Loan_Start)+(Pay_Num)*12/Num_Pmt_Per_Year,DAY(Loan_Start)),"")</f>
        <v>45444</v>
      </c>
      <c r="C19" s="70">
        <f>IF(Pay_Num&lt;&gt;"",I18,"")</f>
        <v>48196.185648824008</v>
      </c>
      <c r="D19" s="70">
        <f>IF(Pay_Num&lt;&gt;"",Scheduled_Monthly_Payment,"")</f>
        <v>2418.3976845093252</v>
      </c>
      <c r="E19" s="71">
        <f>IF(AND(Pay_Num&lt;&gt;"",Sched_Pay+Scheduled_Extra_Payments&lt;Beg_Bal),Scheduled_Extra_Payments,IF(AND(Pay_Num&lt;&gt;"",Beg_Bal-Sched_Pay&gt;0),Beg_Bal-Sched_Pay,IF(Pay_Num&lt;&gt;"",0,"")))</f>
        <v>0</v>
      </c>
      <c r="F19" s="70">
        <f>IF(AND(Pay_Num&lt;&gt;"",Sched_Pay+Extra_Pay&lt;Beg_Bal),Sched_Pay+Extra_Pay,IF(Pay_Num&lt;&gt;"",Beg_Bal,""))</f>
        <v>2418.3976845093252</v>
      </c>
      <c r="G19" s="70">
        <f>IF(Pay_Num&lt;&gt;"",Total_Pay-Int,"")</f>
        <v>1825.9862359091967</v>
      </c>
      <c r="H19" s="70">
        <f>IF(Pay_Num&lt;&gt;"",Beg_Bal*Interest_Rate/Num_Pmt_Per_Year,"")</f>
        <v>592.41144860012844</v>
      </c>
      <c r="I19" s="70">
        <f>IF(AND(Pay_Num&lt;&gt;"",Sched_Pay+Extra_Pay&lt;Beg_Bal),Beg_Bal-Princ,IF(Pay_Num&lt;&gt;"",0,""))</f>
        <v>46370.199412914808</v>
      </c>
      <c r="J19" s="70">
        <f>SUM($H$18:$H19)</f>
        <v>1206.9947819334616</v>
      </c>
    </row>
    <row r="20" spans="1:10" s="37" customFormat="1" ht="12.75" customHeight="1" x14ac:dyDescent="0.3">
      <c r="A20" s="36">
        <f>IF(Values_Entered,A19+1,"")</f>
        <v>3</v>
      </c>
      <c r="B20" s="35">
        <f>IF(Pay_Num&lt;&gt;"",DATE(YEAR(Loan_Start),MONTH(Loan_Start)+(Pay_Num)*12/Num_Pmt_Per_Year,DAY(Loan_Start)),"")</f>
        <v>45474</v>
      </c>
      <c r="C20" s="70">
        <f>IF(Pay_Num&lt;&gt;"",I19,"")</f>
        <v>46370.199412914808</v>
      </c>
      <c r="D20" s="70">
        <f>IF(Pay_Num&lt;&gt;"",Scheduled_Monthly_Payment,"")</f>
        <v>2418.3976845093252</v>
      </c>
      <c r="E20" s="71">
        <f>IF(AND(Pay_Num&lt;&gt;"",Sched_Pay+Scheduled_Extra_Payments&lt;Beg_Bal),Scheduled_Extra_Payments,IF(AND(Pay_Num&lt;&gt;"",Beg_Bal-Sched_Pay&gt;0),Beg_Bal-Sched_Pay,IF(Pay_Num&lt;&gt;"",0,"")))</f>
        <v>0</v>
      </c>
      <c r="F20" s="70">
        <f>IF(AND(Pay_Num&lt;&gt;"",Sched_Pay+Extra_Pay&lt;Beg_Bal),Sched_Pay+Extra_Pay,IF(Pay_Num&lt;&gt;"",Beg_Bal,""))</f>
        <v>2418.3976845093252</v>
      </c>
      <c r="G20" s="70">
        <f>IF(Pay_Num&lt;&gt;"",Total_Pay-Int,"")</f>
        <v>1848.4306500589141</v>
      </c>
      <c r="H20" s="70">
        <f>IF(Pay_Num&lt;&gt;"",Beg_Bal*Interest_Rate/Num_Pmt_Per_Year,"")</f>
        <v>569.96703445041112</v>
      </c>
      <c r="I20" s="70">
        <f>IF(AND(Pay_Num&lt;&gt;"",Sched_Pay+Extra_Pay&lt;Beg_Bal),Beg_Bal-Princ,IF(Pay_Num&lt;&gt;"",0,""))</f>
        <v>44521.768762855892</v>
      </c>
      <c r="J20" s="70">
        <f>SUM($H$18:$H20)</f>
        <v>1776.9618163838727</v>
      </c>
    </row>
    <row r="21" spans="1:10" s="37" customFormat="1" x14ac:dyDescent="0.3">
      <c r="A21" s="36">
        <f>IF(Values_Entered,A20+1,"")</f>
        <v>4</v>
      </c>
      <c r="B21" s="35">
        <f>IF(Pay_Num&lt;&gt;"",DATE(YEAR(Loan_Start),MONTH(Loan_Start)+(Pay_Num)*12/Num_Pmt_Per_Year,DAY(Loan_Start)),"")</f>
        <v>45505</v>
      </c>
      <c r="C21" s="70">
        <f>IF(Pay_Num&lt;&gt;"",I20,"")</f>
        <v>44521.768762855892</v>
      </c>
      <c r="D21" s="70">
        <f>IF(Pay_Num&lt;&gt;"",Scheduled_Monthly_Payment,"")</f>
        <v>2418.3976845093252</v>
      </c>
      <c r="E21" s="71">
        <f>IF(AND(Pay_Num&lt;&gt;"",Sched_Pay+Scheduled_Extra_Payments&lt;Beg_Bal),Scheduled_Extra_Payments,IF(AND(Pay_Num&lt;&gt;"",Beg_Bal-Sched_Pay&gt;0),Beg_Bal-Sched_Pay,IF(Pay_Num&lt;&gt;"",0,"")))</f>
        <v>0</v>
      </c>
      <c r="F21" s="70">
        <f>IF(AND(Pay_Num&lt;&gt;"",Sched_Pay+Extra_Pay&lt;Beg_Bal),Sched_Pay+Extra_Pay,IF(Pay_Num&lt;&gt;"",Beg_Bal,""))</f>
        <v>2418.3976845093252</v>
      </c>
      <c r="G21" s="70">
        <f>IF(Pay_Num&lt;&gt;"",Total_Pay-Int,"")</f>
        <v>1871.1509434658883</v>
      </c>
      <c r="H21" s="70">
        <f>IF(Pay_Num&lt;&gt;"",Beg_Bal*Interest_Rate/Num_Pmt_Per_Year,"")</f>
        <v>547.24674104343705</v>
      </c>
      <c r="I21" s="70">
        <f>IF(AND(Pay_Num&lt;&gt;"",Sched_Pay+Extra_Pay&lt;Beg_Bal),Beg_Bal-Princ,IF(Pay_Num&lt;&gt;"",0,""))</f>
        <v>42650.617819390005</v>
      </c>
      <c r="J21" s="70">
        <f>SUM($H$18:$H21)</f>
        <v>2324.2085574273096</v>
      </c>
    </row>
    <row r="22" spans="1:10" s="37" customFormat="1" x14ac:dyDescent="0.3">
      <c r="A22" s="36">
        <f>IF(Values_Entered,A21+1,"")</f>
        <v>5</v>
      </c>
      <c r="B22" s="35">
        <f>IF(Pay_Num&lt;&gt;"",DATE(YEAR(Loan_Start),MONTH(Loan_Start)+(Pay_Num)*12/Num_Pmt_Per_Year,DAY(Loan_Start)),"")</f>
        <v>45536</v>
      </c>
      <c r="C22" s="70">
        <f>IF(Pay_Num&lt;&gt;"",I21,"")</f>
        <v>42650.617819390005</v>
      </c>
      <c r="D22" s="70">
        <f>IF(Pay_Num&lt;&gt;"",Scheduled_Monthly_Payment,"")</f>
        <v>2418.3976845093252</v>
      </c>
      <c r="E22" s="71">
        <f>IF(AND(Pay_Num&lt;&gt;"",Sched_Pay+Scheduled_Extra_Payments&lt;Beg_Bal),Scheduled_Extra_Payments,IF(AND(Pay_Num&lt;&gt;"",Beg_Bal-Sched_Pay&gt;0),Beg_Bal-Sched_Pay,IF(Pay_Num&lt;&gt;"",0,"")))</f>
        <v>0</v>
      </c>
      <c r="F22" s="70">
        <f>IF(AND(Pay_Num&lt;&gt;"",Sched_Pay+Extra_Pay&lt;Beg_Bal),Sched_Pay+Extra_Pay,IF(Pay_Num&lt;&gt;"",Beg_Bal,""))</f>
        <v>2418.3976845093252</v>
      </c>
      <c r="G22" s="70">
        <f>IF(Pay_Num&lt;&gt;"",Total_Pay-Int,"")</f>
        <v>1894.1505071459896</v>
      </c>
      <c r="H22" s="70">
        <f>IF(Pay_Num&lt;&gt;"",Beg_Bal*Interest_Rate/Num_Pmt_Per_Year,"")</f>
        <v>524.24717736333548</v>
      </c>
      <c r="I22" s="70">
        <f>IF(AND(Pay_Num&lt;&gt;"",Sched_Pay+Extra_Pay&lt;Beg_Bal),Beg_Bal-Princ,IF(Pay_Num&lt;&gt;"",0,""))</f>
        <v>40756.467312244014</v>
      </c>
      <c r="J22" s="70">
        <f>SUM($H$18:$H22)</f>
        <v>2848.4557347906452</v>
      </c>
    </row>
    <row r="23" spans="1:10" x14ac:dyDescent="0.3">
      <c r="A23" s="36">
        <f>IF(Values_Entered,A22+1,"")</f>
        <v>6</v>
      </c>
      <c r="B23" s="35">
        <f>IF(Pay_Num&lt;&gt;"",DATE(YEAR(Loan_Start),MONTH(Loan_Start)+(Pay_Num)*12/Num_Pmt_Per_Year,DAY(Loan_Start)),"")</f>
        <v>45566</v>
      </c>
      <c r="C23" s="70">
        <f>IF(Pay_Num&lt;&gt;"",I22,"")</f>
        <v>40756.467312244014</v>
      </c>
      <c r="D23" s="70">
        <f>IF(Pay_Num&lt;&gt;"",Scheduled_Monthly_Payment,"")</f>
        <v>2418.3976845093252</v>
      </c>
      <c r="E23" s="71">
        <f>IF(AND(Pay_Num&lt;&gt;"",Sched_Pay+Scheduled_Extra_Payments&lt;Beg_Bal),Scheduled_Extra_Payments,IF(AND(Pay_Num&lt;&gt;"",Beg_Bal-Sched_Pay&gt;0),Beg_Bal-Sched_Pay,IF(Pay_Num&lt;&gt;"",0,"")))</f>
        <v>0</v>
      </c>
      <c r="F23" s="70">
        <f>IF(AND(Pay_Num&lt;&gt;"",Sched_Pay+Extra_Pay&lt;Beg_Bal),Sched_Pay+Extra_Pay,IF(Pay_Num&lt;&gt;"",Beg_Bal,""))</f>
        <v>2418.3976845093252</v>
      </c>
      <c r="G23" s="70">
        <f>IF(Pay_Num&lt;&gt;"",Total_Pay-Int,"")</f>
        <v>1917.4327737963258</v>
      </c>
      <c r="H23" s="70">
        <f>IF(Pay_Num&lt;&gt;"",Beg_Bal*Interest_Rate/Num_Pmt_Per_Year,"")</f>
        <v>500.96491071299937</v>
      </c>
      <c r="I23" s="70">
        <f>IF(AND(Pay_Num&lt;&gt;"",Sched_Pay+Extra_Pay&lt;Beg_Bal),Beg_Bal-Princ,IF(Pay_Num&lt;&gt;"",0,""))</f>
        <v>38839.03453844769</v>
      </c>
      <c r="J23" s="70">
        <f>SUM($H$18:$H23)</f>
        <v>3349.4206455036447</v>
      </c>
    </row>
    <row r="24" spans="1:10" x14ac:dyDescent="0.3">
      <c r="A24" s="36">
        <f>IF(Values_Entered,A23+1,"")</f>
        <v>7</v>
      </c>
      <c r="B24" s="35">
        <f>IF(Pay_Num&lt;&gt;"",DATE(YEAR(Loan_Start),MONTH(Loan_Start)+(Pay_Num)*12/Num_Pmt_Per_Year,DAY(Loan_Start)),"")</f>
        <v>45597</v>
      </c>
      <c r="C24" s="70">
        <f>IF(Pay_Num&lt;&gt;"",I23,"")</f>
        <v>38839.03453844769</v>
      </c>
      <c r="D24" s="70">
        <f>IF(Pay_Num&lt;&gt;"",Scheduled_Monthly_Payment,"")</f>
        <v>2418.3976845093252</v>
      </c>
      <c r="E24" s="71">
        <f>IF(AND(Pay_Num&lt;&gt;"",Sched_Pay+Scheduled_Extra_Payments&lt;Beg_Bal),Scheduled_Extra_Payments,IF(AND(Pay_Num&lt;&gt;"",Beg_Bal-Sched_Pay&gt;0),Beg_Bal-Sched_Pay,IF(Pay_Num&lt;&gt;"",0,"")))</f>
        <v>0</v>
      </c>
      <c r="F24" s="70">
        <f>IF(AND(Pay_Num&lt;&gt;"",Sched_Pay+Extra_Pay&lt;Beg_Bal),Sched_Pay+Extra_Pay,IF(Pay_Num&lt;&gt;"",Beg_Bal,""))</f>
        <v>2418.3976845093252</v>
      </c>
      <c r="G24" s="70">
        <f>IF(Pay_Num&lt;&gt;"",Total_Pay-Int,"")</f>
        <v>1941.0012183075723</v>
      </c>
      <c r="H24" s="70">
        <f>IF(Pay_Num&lt;&gt;"",Beg_Bal*Interest_Rate/Num_Pmt_Per_Year,"")</f>
        <v>477.39646620175284</v>
      </c>
      <c r="I24" s="70">
        <f>IF(AND(Pay_Num&lt;&gt;"",Sched_Pay+Extra_Pay&lt;Beg_Bal),Beg_Bal-Princ,IF(Pay_Num&lt;&gt;"",0,""))</f>
        <v>36898.033320140115</v>
      </c>
      <c r="J24" s="70">
        <f>SUM($H$18:$H24)</f>
        <v>3826.8171117053976</v>
      </c>
    </row>
    <row r="25" spans="1:10" x14ac:dyDescent="0.3">
      <c r="A25" s="36">
        <f>IF(Values_Entered,A24+1,"")</f>
        <v>8</v>
      </c>
      <c r="B25" s="35">
        <f>IF(Pay_Num&lt;&gt;"",DATE(YEAR(Loan_Start),MONTH(Loan_Start)+(Pay_Num)*12/Num_Pmt_Per_Year,DAY(Loan_Start)),"")</f>
        <v>45627</v>
      </c>
      <c r="C25" s="70">
        <f>IF(Pay_Num&lt;&gt;"",I24,"")</f>
        <v>36898.033320140115</v>
      </c>
      <c r="D25" s="70">
        <f>IF(Pay_Num&lt;&gt;"",Scheduled_Monthly_Payment,"")</f>
        <v>2418.3976845093252</v>
      </c>
      <c r="E25" s="71">
        <f>IF(AND(Pay_Num&lt;&gt;"",Sched_Pay+Scheduled_Extra_Payments&lt;Beg_Bal),Scheduled_Extra_Payments,IF(AND(Pay_Num&lt;&gt;"",Beg_Bal-Sched_Pay&gt;0),Beg_Bal-Sched_Pay,IF(Pay_Num&lt;&gt;"",0,"")))</f>
        <v>0</v>
      </c>
      <c r="F25" s="70">
        <f>IF(AND(Pay_Num&lt;&gt;"",Sched_Pay+Extra_Pay&lt;Beg_Bal),Sched_Pay+Extra_Pay,IF(Pay_Num&lt;&gt;"",Beg_Bal,""))</f>
        <v>2418.3976845093252</v>
      </c>
      <c r="G25" s="70">
        <f>IF(Pay_Num&lt;&gt;"",Total_Pay-Int,"")</f>
        <v>1964.8593582826031</v>
      </c>
      <c r="H25" s="70">
        <f>IF(Pay_Num&lt;&gt;"",Beg_Bal*Interest_Rate/Num_Pmt_Per_Year,"")</f>
        <v>453.53832622672218</v>
      </c>
      <c r="I25" s="70">
        <f>IF(AND(Pay_Num&lt;&gt;"",Sched_Pay+Extra_Pay&lt;Beg_Bal),Beg_Bal-Princ,IF(Pay_Num&lt;&gt;"",0,""))</f>
        <v>34933.173961857516</v>
      </c>
      <c r="J25" s="70">
        <f>SUM($H$18:$H25)</f>
        <v>4280.3554379321195</v>
      </c>
    </row>
    <row r="26" spans="1:10" x14ac:dyDescent="0.3">
      <c r="A26" s="36">
        <f>IF(Values_Entered,A25+1,"")</f>
        <v>9</v>
      </c>
      <c r="B26" s="35">
        <f>IF(Pay_Num&lt;&gt;"",DATE(YEAR(Loan_Start),MONTH(Loan_Start)+(Pay_Num)*12/Num_Pmt_Per_Year,DAY(Loan_Start)),"")</f>
        <v>45658</v>
      </c>
      <c r="C26" s="70">
        <f>IF(Pay_Num&lt;&gt;"",I25,"")</f>
        <v>34933.173961857516</v>
      </c>
      <c r="D26" s="70">
        <f>IF(Pay_Num&lt;&gt;"",Scheduled_Monthly_Payment,"")</f>
        <v>2418.3976845093252</v>
      </c>
      <c r="E26" s="71">
        <f>IF(AND(Pay_Num&lt;&gt;"",Sched_Pay+Scheduled_Extra_Payments&lt;Beg_Bal),Scheduled_Extra_Payments,IF(AND(Pay_Num&lt;&gt;"",Beg_Bal-Sched_Pay&gt;0),Beg_Bal-Sched_Pay,IF(Pay_Num&lt;&gt;"",0,"")))</f>
        <v>0</v>
      </c>
      <c r="F26" s="70">
        <f>IF(AND(Pay_Num&lt;&gt;"",Sched_Pay+Extra_Pay&lt;Beg_Bal),Sched_Pay+Extra_Pay,IF(Pay_Num&lt;&gt;"",Beg_Bal,""))</f>
        <v>2418.3976845093252</v>
      </c>
      <c r="G26" s="70">
        <f>IF(Pay_Num&lt;&gt;"",Total_Pay-Int,"")</f>
        <v>1989.0107545614933</v>
      </c>
      <c r="H26" s="70">
        <f>IF(Pay_Num&lt;&gt;"",Beg_Bal*Interest_Rate/Num_Pmt_Per_Year,"")</f>
        <v>429.38692994783196</v>
      </c>
      <c r="I26" s="70">
        <f>IF(AND(Pay_Num&lt;&gt;"",Sched_Pay+Extra_Pay&lt;Beg_Bal),Beg_Bal-Princ,IF(Pay_Num&lt;&gt;"",0,""))</f>
        <v>32944.16320729602</v>
      </c>
      <c r="J26" s="70">
        <f>SUM($H$18:$H26)</f>
        <v>4709.7423678799514</v>
      </c>
    </row>
    <row r="27" spans="1:10" x14ac:dyDescent="0.3">
      <c r="A27" s="36">
        <f>IF(Values_Entered,A26+1,"")</f>
        <v>10</v>
      </c>
      <c r="B27" s="35">
        <f>IF(Pay_Num&lt;&gt;"",DATE(YEAR(Loan_Start),MONTH(Loan_Start)+(Pay_Num)*12/Num_Pmt_Per_Year,DAY(Loan_Start)),"")</f>
        <v>45689</v>
      </c>
      <c r="C27" s="70">
        <f>IF(Pay_Num&lt;&gt;"",I26,"")</f>
        <v>32944.16320729602</v>
      </c>
      <c r="D27" s="70">
        <f>IF(Pay_Num&lt;&gt;"",Scheduled_Monthly_Payment,"")</f>
        <v>2418.3976845093252</v>
      </c>
      <c r="E27" s="71">
        <f>IF(AND(Pay_Num&lt;&gt;"",Sched_Pay+Scheduled_Extra_Payments&lt;Beg_Bal),Scheduled_Extra_Payments,IF(AND(Pay_Num&lt;&gt;"",Beg_Bal-Sched_Pay&gt;0),Beg_Bal-Sched_Pay,IF(Pay_Num&lt;&gt;"",0,"")))</f>
        <v>0</v>
      </c>
      <c r="F27" s="70">
        <f>IF(AND(Pay_Num&lt;&gt;"",Sched_Pay+Extra_Pay&lt;Beg_Bal),Sched_Pay+Extra_Pay,IF(Pay_Num&lt;&gt;"",Beg_Bal,""))</f>
        <v>2418.3976845093252</v>
      </c>
      <c r="G27" s="70">
        <f>IF(Pay_Num&lt;&gt;"",Total_Pay-Int,"")</f>
        <v>2013.4590117529783</v>
      </c>
      <c r="H27" s="70">
        <f>IF(Pay_Num&lt;&gt;"",Beg_Bal*Interest_Rate/Num_Pmt_Per_Year,"")</f>
        <v>404.93867275634688</v>
      </c>
      <c r="I27" s="70">
        <f>IF(AND(Pay_Num&lt;&gt;"",Sched_Pay+Extra_Pay&lt;Beg_Bal),Beg_Bal-Princ,IF(Pay_Num&lt;&gt;"",0,""))</f>
        <v>30930.704195543043</v>
      </c>
      <c r="J27" s="70">
        <f>SUM($H$18:$H27)</f>
        <v>5114.6810406362983</v>
      </c>
    </row>
    <row r="28" spans="1:10" x14ac:dyDescent="0.3">
      <c r="A28" s="36">
        <f>IF(Values_Entered,A27+1,"")</f>
        <v>11</v>
      </c>
      <c r="B28" s="35">
        <f>IF(Pay_Num&lt;&gt;"",DATE(YEAR(Loan_Start),MONTH(Loan_Start)+(Pay_Num)*12/Num_Pmt_Per_Year,DAY(Loan_Start)),"")</f>
        <v>45717</v>
      </c>
      <c r="C28" s="70">
        <f>IF(Pay_Num&lt;&gt;"",I27,"")</f>
        <v>30930.704195543043</v>
      </c>
      <c r="D28" s="70">
        <f>IF(Pay_Num&lt;&gt;"",Scheduled_Monthly_Payment,"")</f>
        <v>2418.3976845093252</v>
      </c>
      <c r="E28" s="71">
        <f>IF(AND(Pay_Num&lt;&gt;"",Sched_Pay+Scheduled_Extra_Payments&lt;Beg_Bal),Scheduled_Extra_Payments,IF(AND(Pay_Num&lt;&gt;"",Beg_Bal-Sched_Pay&gt;0),Beg_Bal-Sched_Pay,IF(Pay_Num&lt;&gt;"",0,"")))</f>
        <v>0</v>
      </c>
      <c r="F28" s="70">
        <f>IF(AND(Pay_Num&lt;&gt;"",Sched_Pay+Extra_Pay&lt;Beg_Bal),Sched_Pay+Extra_Pay,IF(Pay_Num&lt;&gt;"",Beg_Bal,""))</f>
        <v>2418.3976845093252</v>
      </c>
      <c r="G28" s="70">
        <f>IF(Pay_Num&lt;&gt;"",Total_Pay-Int,"")</f>
        <v>2038.207778772442</v>
      </c>
      <c r="H28" s="70">
        <f>IF(Pay_Num&lt;&gt;"",Beg_Bal*Interest_Rate/Num_Pmt_Per_Year,"")</f>
        <v>380.18990573688325</v>
      </c>
      <c r="I28" s="70">
        <f>IF(AND(Pay_Num&lt;&gt;"",Sched_Pay+Extra_Pay&lt;Beg_Bal),Beg_Bal-Princ,IF(Pay_Num&lt;&gt;"",0,""))</f>
        <v>28892.496416770602</v>
      </c>
      <c r="J28" s="70">
        <f>SUM($H$18:$H28)</f>
        <v>5494.8709463731811</v>
      </c>
    </row>
    <row r="29" spans="1:10" x14ac:dyDescent="0.3">
      <c r="A29" s="36">
        <f>IF(Values_Entered,A28+1,"")</f>
        <v>12</v>
      </c>
      <c r="B29" s="35">
        <f>IF(Pay_Num&lt;&gt;"",DATE(YEAR(Loan_Start),MONTH(Loan_Start)+(Pay_Num)*12/Num_Pmt_Per_Year,DAY(Loan_Start)),"")</f>
        <v>45748</v>
      </c>
      <c r="C29" s="70">
        <f>IF(Pay_Num&lt;&gt;"",I28,"")</f>
        <v>28892.496416770602</v>
      </c>
      <c r="D29" s="70">
        <f>IF(Pay_Num&lt;&gt;"",Scheduled_Monthly_Payment,"")</f>
        <v>2418.3976845093252</v>
      </c>
      <c r="E29" s="71">
        <f>IF(AND(Pay_Num&lt;&gt;"",Sched_Pay+Scheduled_Extra_Payments&lt;Beg_Bal),Scheduled_Extra_Payments,IF(AND(Pay_Num&lt;&gt;"",Beg_Bal-Sched_Pay&gt;0),Beg_Bal-Sched_Pay,IF(Pay_Num&lt;&gt;"",0,"")))</f>
        <v>0</v>
      </c>
      <c r="F29" s="70">
        <f>IF(AND(Pay_Num&lt;&gt;"",Sched_Pay+Extra_Pay&lt;Beg_Bal),Sched_Pay+Extra_Pay,IF(Pay_Num&lt;&gt;"",Beg_Bal,""))</f>
        <v>2418.3976845093252</v>
      </c>
      <c r="G29" s="70">
        <f>IF(Pay_Num&lt;&gt;"",Total_Pay-Int,"")</f>
        <v>2063.2607493865198</v>
      </c>
      <c r="H29" s="70">
        <f>IF(Pay_Num&lt;&gt;"",Beg_Bal*Interest_Rate/Num_Pmt_Per_Year,"")</f>
        <v>355.13693512280526</v>
      </c>
      <c r="I29" s="70">
        <f>IF(AND(Pay_Num&lt;&gt;"",Sched_Pay+Extra_Pay&lt;Beg_Bal),Beg_Bal-Princ,IF(Pay_Num&lt;&gt;"",0,""))</f>
        <v>26829.235667384084</v>
      </c>
      <c r="J29" s="70">
        <f>SUM($H$18:$H29)</f>
        <v>5850.0078814959861</v>
      </c>
    </row>
    <row r="30" spans="1:10" x14ac:dyDescent="0.3">
      <c r="A30" s="36">
        <f>IF(Values_Entered,A29+1,"")</f>
        <v>13</v>
      </c>
      <c r="B30" s="35">
        <f>IF(Pay_Num&lt;&gt;"",DATE(YEAR(Loan_Start),MONTH(Loan_Start)+(Pay_Num)*12/Num_Pmt_Per_Year,DAY(Loan_Start)),"")</f>
        <v>45778</v>
      </c>
      <c r="C30" s="70">
        <f>IF(Pay_Num&lt;&gt;"",I29,"")</f>
        <v>26829.235667384084</v>
      </c>
      <c r="D30" s="70">
        <f>IF(Pay_Num&lt;&gt;"",Scheduled_Monthly_Payment,"")</f>
        <v>2418.3976845093252</v>
      </c>
      <c r="E30" s="71">
        <f>IF(AND(Pay_Num&lt;&gt;"",Sched_Pay+Scheduled_Extra_Payments&lt;Beg_Bal),Scheduled_Extra_Payments,IF(AND(Pay_Num&lt;&gt;"",Beg_Bal-Sched_Pay&gt;0),Beg_Bal-Sched_Pay,IF(Pay_Num&lt;&gt;"",0,"")))</f>
        <v>0</v>
      </c>
      <c r="F30" s="70">
        <f>IF(AND(Pay_Num&lt;&gt;"",Sched_Pay+Extra_Pay&lt;Beg_Bal),Sched_Pay+Extra_Pay,IF(Pay_Num&lt;&gt;"",Beg_Bal,""))</f>
        <v>2418.3976845093252</v>
      </c>
      <c r="G30" s="70">
        <f>IF(Pay_Num&lt;&gt;"",Total_Pay-Int,"")</f>
        <v>2088.6216627643958</v>
      </c>
      <c r="H30" s="70">
        <f>IF(Pay_Num&lt;&gt;"",Beg_Bal*Interest_Rate/Num_Pmt_Per_Year,"")</f>
        <v>329.77602174492932</v>
      </c>
      <c r="I30" s="70">
        <f>IF(AND(Pay_Num&lt;&gt;"",Sched_Pay+Extra_Pay&lt;Beg_Bal),Beg_Bal-Princ,IF(Pay_Num&lt;&gt;"",0,""))</f>
        <v>24740.614004619689</v>
      </c>
      <c r="J30" s="70">
        <f>SUM($H$18:$H30)</f>
        <v>6179.7839032409156</v>
      </c>
    </row>
    <row r="31" spans="1:10" x14ac:dyDescent="0.3">
      <c r="A31" s="36">
        <f>IF(Values_Entered,A30+1,"")</f>
        <v>14</v>
      </c>
      <c r="B31" s="35">
        <f>IF(Pay_Num&lt;&gt;"",DATE(YEAR(Loan_Start),MONTH(Loan_Start)+(Pay_Num)*12/Num_Pmt_Per_Year,DAY(Loan_Start)),"")</f>
        <v>45809</v>
      </c>
      <c r="C31" s="70">
        <f>IF(Pay_Num&lt;&gt;"",I30,"")</f>
        <v>24740.614004619689</v>
      </c>
      <c r="D31" s="70">
        <f>IF(Pay_Num&lt;&gt;"",Scheduled_Monthly_Payment,"")</f>
        <v>2418.3976845093252</v>
      </c>
      <c r="E31" s="71">
        <f>IF(AND(Pay_Num&lt;&gt;"",Sched_Pay+Scheduled_Extra_Payments&lt;Beg_Bal),Scheduled_Extra_Payments,IF(AND(Pay_Num&lt;&gt;"",Beg_Bal-Sched_Pay&gt;0),Beg_Bal-Sched_Pay,IF(Pay_Num&lt;&gt;"",0,"")))</f>
        <v>0</v>
      </c>
      <c r="F31" s="70">
        <f>IF(AND(Pay_Num&lt;&gt;"",Sched_Pay+Extra_Pay&lt;Beg_Bal),Sched_Pay+Extra_Pay,IF(Pay_Num&lt;&gt;"",Beg_Bal,""))</f>
        <v>2418.3976845093252</v>
      </c>
      <c r="G31" s="70">
        <f>IF(Pay_Num&lt;&gt;"",Total_Pay-Int,"")</f>
        <v>2114.294304035875</v>
      </c>
      <c r="H31" s="70">
        <f>IF(Pay_Num&lt;&gt;"",Beg_Bal*Interest_Rate/Num_Pmt_Per_Year,"")</f>
        <v>304.10338047345033</v>
      </c>
      <c r="I31" s="70">
        <f>IF(AND(Pay_Num&lt;&gt;"",Sched_Pay+Extra_Pay&lt;Beg_Bal),Beg_Bal-Princ,IF(Pay_Num&lt;&gt;"",0,""))</f>
        <v>22626.319700583816</v>
      </c>
      <c r="J31" s="70">
        <f>SUM($H$18:$H31)</f>
        <v>6483.8872837143663</v>
      </c>
    </row>
    <row r="32" spans="1:10" x14ac:dyDescent="0.3">
      <c r="A32" s="36">
        <f>IF(Values_Entered,A31+1,"")</f>
        <v>15</v>
      </c>
      <c r="B32" s="35">
        <f>IF(Pay_Num&lt;&gt;"",DATE(YEAR(Loan_Start),MONTH(Loan_Start)+(Pay_Num)*12/Num_Pmt_Per_Year,DAY(Loan_Start)),"")</f>
        <v>45839</v>
      </c>
      <c r="C32" s="70">
        <f>IF(Pay_Num&lt;&gt;"",I31,"")</f>
        <v>22626.319700583816</v>
      </c>
      <c r="D32" s="70">
        <f>IF(Pay_Num&lt;&gt;"",Scheduled_Monthly_Payment,"")</f>
        <v>2418.3976845093252</v>
      </c>
      <c r="E32" s="71">
        <f>IF(AND(Pay_Num&lt;&gt;"",Sched_Pay+Scheduled_Extra_Payments&lt;Beg_Bal),Scheduled_Extra_Payments,IF(AND(Pay_Num&lt;&gt;"",Beg_Bal-Sched_Pay&gt;0),Beg_Bal-Sched_Pay,IF(Pay_Num&lt;&gt;"",0,"")))</f>
        <v>0</v>
      </c>
      <c r="F32" s="70">
        <f>IF(AND(Pay_Num&lt;&gt;"",Sched_Pay+Extra_Pay&lt;Beg_Bal),Sched_Pay+Extra_Pay,IF(Pay_Num&lt;&gt;"",Beg_Bal,""))</f>
        <v>2418.3976845093252</v>
      </c>
      <c r="G32" s="70">
        <f>IF(Pay_Num&lt;&gt;"",Total_Pay-Int,"")</f>
        <v>2140.2825048563159</v>
      </c>
      <c r="H32" s="70">
        <f>IF(Pay_Num&lt;&gt;"",Beg_Bal*Interest_Rate/Num_Pmt_Per_Year,"")</f>
        <v>278.11517965300942</v>
      </c>
      <c r="I32" s="70">
        <f>IF(AND(Pay_Num&lt;&gt;"",Sched_Pay+Extra_Pay&lt;Beg_Bal),Beg_Bal-Princ,IF(Pay_Num&lt;&gt;"",0,""))</f>
        <v>20486.037195727498</v>
      </c>
      <c r="J32" s="70">
        <f>SUM($H$18:$H32)</f>
        <v>6762.0024633673756</v>
      </c>
    </row>
    <row r="33" spans="1:10" x14ac:dyDescent="0.3">
      <c r="A33" s="36">
        <f>IF(Values_Entered,A32+1,"")</f>
        <v>16</v>
      </c>
      <c r="B33" s="35">
        <f>IF(Pay_Num&lt;&gt;"",DATE(YEAR(Loan_Start),MONTH(Loan_Start)+(Pay_Num)*12/Num_Pmt_Per_Year,DAY(Loan_Start)),"")</f>
        <v>45870</v>
      </c>
      <c r="C33" s="70">
        <f>IF(Pay_Num&lt;&gt;"",I32,"")</f>
        <v>20486.037195727498</v>
      </c>
      <c r="D33" s="70">
        <f>IF(Pay_Num&lt;&gt;"",Scheduled_Monthly_Payment,"")</f>
        <v>2418.3976845093252</v>
      </c>
      <c r="E33" s="71">
        <f>IF(AND(Pay_Num&lt;&gt;"",Sched_Pay+Scheduled_Extra_Payments&lt;Beg_Bal),Scheduled_Extra_Payments,IF(AND(Pay_Num&lt;&gt;"",Beg_Bal-Sched_Pay&gt;0),Beg_Bal-Sched_Pay,IF(Pay_Num&lt;&gt;"",0,"")))</f>
        <v>0</v>
      </c>
      <c r="F33" s="70">
        <f>IF(AND(Pay_Num&lt;&gt;"",Sched_Pay+Extra_Pay&lt;Beg_Bal),Sched_Pay+Extra_Pay,IF(Pay_Num&lt;&gt;"",Beg_Bal,""))</f>
        <v>2418.3976845093252</v>
      </c>
      <c r="G33" s="70">
        <f>IF(Pay_Num&lt;&gt;"",Total_Pay-Int,"")</f>
        <v>2166.590143978508</v>
      </c>
      <c r="H33" s="70">
        <f>IF(Pay_Num&lt;&gt;"",Beg_Bal*Interest_Rate/Num_Pmt_Per_Year,"")</f>
        <v>251.80754053081716</v>
      </c>
      <c r="I33" s="70">
        <f>IF(AND(Pay_Num&lt;&gt;"",Sched_Pay+Extra_Pay&lt;Beg_Bal),Beg_Bal-Princ,IF(Pay_Num&lt;&gt;"",0,""))</f>
        <v>18319.44705174899</v>
      </c>
      <c r="J33" s="70">
        <f>SUM($H$18:$H33)</f>
        <v>7013.8100038981929</v>
      </c>
    </row>
    <row r="34" spans="1:10" x14ac:dyDescent="0.3">
      <c r="A34" s="36">
        <f>IF(Values_Entered,A33+1,"")</f>
        <v>17</v>
      </c>
      <c r="B34" s="35">
        <f>IF(Pay_Num&lt;&gt;"",DATE(YEAR(Loan_Start),MONTH(Loan_Start)+(Pay_Num)*12/Num_Pmt_Per_Year,DAY(Loan_Start)),"")</f>
        <v>45901</v>
      </c>
      <c r="C34" s="70">
        <f>IF(Pay_Num&lt;&gt;"",I33,"")</f>
        <v>18319.44705174899</v>
      </c>
      <c r="D34" s="70">
        <f>IF(Pay_Num&lt;&gt;"",Scheduled_Monthly_Payment,"")</f>
        <v>2418.3976845093252</v>
      </c>
      <c r="E34" s="71">
        <f>IF(AND(Pay_Num&lt;&gt;"",Sched_Pay+Scheduled_Extra_Payments&lt;Beg_Bal),Scheduled_Extra_Payments,IF(AND(Pay_Num&lt;&gt;"",Beg_Bal-Sched_Pay&gt;0),Beg_Bal-Sched_Pay,IF(Pay_Num&lt;&gt;"",0,"")))</f>
        <v>0</v>
      </c>
      <c r="F34" s="70">
        <f>IF(AND(Pay_Num&lt;&gt;"",Sched_Pay+Extra_Pay&lt;Beg_Bal),Sched_Pay+Extra_Pay,IF(Pay_Num&lt;&gt;"",Beg_Bal,""))</f>
        <v>2418.3976845093252</v>
      </c>
      <c r="G34" s="70">
        <f>IF(Pay_Num&lt;&gt;"",Total_Pay-Int,"")</f>
        <v>2193.2211478315771</v>
      </c>
      <c r="H34" s="70">
        <f>IF(Pay_Num&lt;&gt;"",Beg_Bal*Interest_Rate/Num_Pmt_Per_Year,"")</f>
        <v>225.176536677748</v>
      </c>
      <c r="I34" s="70">
        <f>IF(AND(Pay_Num&lt;&gt;"",Sched_Pay+Extra_Pay&lt;Beg_Bal),Beg_Bal-Princ,IF(Pay_Num&lt;&gt;"",0,""))</f>
        <v>16126.225903917413</v>
      </c>
      <c r="J34" s="70">
        <f>SUM($H$18:$H34)</f>
        <v>7238.986540575941</v>
      </c>
    </row>
    <row r="35" spans="1:10" x14ac:dyDescent="0.3">
      <c r="A35" s="36">
        <f>IF(Values_Entered,A34+1,"")</f>
        <v>18</v>
      </c>
      <c r="B35" s="35">
        <f>IF(Pay_Num&lt;&gt;"",DATE(YEAR(Loan_Start),MONTH(Loan_Start)+(Pay_Num)*12/Num_Pmt_Per_Year,DAY(Loan_Start)),"")</f>
        <v>45931</v>
      </c>
      <c r="C35" s="70">
        <f>IF(Pay_Num&lt;&gt;"",I34,"")</f>
        <v>16126.225903917413</v>
      </c>
      <c r="D35" s="70">
        <f>IF(Pay_Num&lt;&gt;"",Scheduled_Monthly_Payment,"")</f>
        <v>2418.3976845093252</v>
      </c>
      <c r="E35" s="71">
        <f>IF(AND(Pay_Num&lt;&gt;"",Sched_Pay+Scheduled_Extra_Payments&lt;Beg_Bal),Scheduled_Extra_Payments,IF(AND(Pay_Num&lt;&gt;"",Beg_Bal-Sched_Pay&gt;0),Beg_Bal-Sched_Pay,IF(Pay_Num&lt;&gt;"",0,"")))</f>
        <v>0</v>
      </c>
      <c r="F35" s="70">
        <f>IF(AND(Pay_Num&lt;&gt;"",Sched_Pay+Extra_Pay&lt;Beg_Bal),Sched_Pay+Extra_Pay,IF(Pay_Num&lt;&gt;"",Beg_Bal,""))</f>
        <v>2418.3976845093252</v>
      </c>
      <c r="G35" s="70">
        <f>IF(Pay_Num&lt;&gt;"",Total_Pay-Int,"")</f>
        <v>2220.1794911070069</v>
      </c>
      <c r="H35" s="70">
        <f>IF(Pay_Num&lt;&gt;"",Beg_Bal*Interest_Rate/Num_Pmt_Per_Year,"")</f>
        <v>198.21819340231821</v>
      </c>
      <c r="I35" s="70">
        <f>IF(AND(Pay_Num&lt;&gt;"",Sched_Pay+Extra_Pay&lt;Beg_Bal),Beg_Bal-Princ,IF(Pay_Num&lt;&gt;"",0,""))</f>
        <v>13906.046412810407</v>
      </c>
      <c r="J35" s="70">
        <f>SUM($H$18:$H35)</f>
        <v>7437.2047339782594</v>
      </c>
    </row>
    <row r="36" spans="1:10" x14ac:dyDescent="0.3">
      <c r="A36" s="36">
        <f>IF(Values_Entered,A35+1,"")</f>
        <v>19</v>
      </c>
      <c r="B36" s="35">
        <f>IF(Pay_Num&lt;&gt;"",DATE(YEAR(Loan_Start),MONTH(Loan_Start)+(Pay_Num)*12/Num_Pmt_Per_Year,DAY(Loan_Start)),"")</f>
        <v>45962</v>
      </c>
      <c r="C36" s="70">
        <f>IF(Pay_Num&lt;&gt;"",I35,"")</f>
        <v>13906.046412810407</v>
      </c>
      <c r="D36" s="70">
        <f>IF(Pay_Num&lt;&gt;"",Scheduled_Monthly_Payment,"")</f>
        <v>2418.3976845093252</v>
      </c>
      <c r="E36" s="71">
        <f>IF(AND(Pay_Num&lt;&gt;"",Sched_Pay+Scheduled_Extra_Payments&lt;Beg_Bal),Scheduled_Extra_Payments,IF(AND(Pay_Num&lt;&gt;"",Beg_Bal-Sched_Pay&gt;0),Beg_Bal-Sched_Pay,IF(Pay_Num&lt;&gt;"",0,"")))</f>
        <v>0</v>
      </c>
      <c r="F36" s="70">
        <f>IF(AND(Pay_Num&lt;&gt;"",Sched_Pay+Extra_Pay&lt;Beg_Bal),Sched_Pay+Extra_Pay,IF(Pay_Num&lt;&gt;"",Beg_Bal,""))</f>
        <v>2418.3976845093252</v>
      </c>
      <c r="G36" s="70">
        <f>IF(Pay_Num&lt;&gt;"",Total_Pay-Int,"")</f>
        <v>2247.4691973518638</v>
      </c>
      <c r="H36" s="70">
        <f>IF(Pay_Num&lt;&gt;"",Beg_Bal*Interest_Rate/Num_Pmt_Per_Year,"")</f>
        <v>170.92848715746126</v>
      </c>
      <c r="I36" s="70">
        <f>IF(AND(Pay_Num&lt;&gt;"",Sched_Pay+Extra_Pay&lt;Beg_Bal),Beg_Bal-Princ,IF(Pay_Num&lt;&gt;"",0,""))</f>
        <v>11658.577215458543</v>
      </c>
      <c r="J36" s="70">
        <f>SUM($H$18:$H36)</f>
        <v>7608.1332211357203</v>
      </c>
    </row>
    <row r="37" spans="1:10" x14ac:dyDescent="0.3">
      <c r="A37" s="36">
        <f>IF(Values_Entered,A36+1,"")</f>
        <v>20</v>
      </c>
      <c r="B37" s="35">
        <f>IF(Pay_Num&lt;&gt;"",DATE(YEAR(Loan_Start),MONTH(Loan_Start)+(Pay_Num)*12/Num_Pmt_Per_Year,DAY(Loan_Start)),"")</f>
        <v>45992</v>
      </c>
      <c r="C37" s="70">
        <f>IF(Pay_Num&lt;&gt;"",I36,"")</f>
        <v>11658.577215458543</v>
      </c>
      <c r="D37" s="70">
        <f>IF(Pay_Num&lt;&gt;"",Scheduled_Monthly_Payment,"")</f>
        <v>2418.3976845093252</v>
      </c>
      <c r="E37" s="71">
        <f>IF(AND(Pay_Num&lt;&gt;"",Sched_Pay+Scheduled_Extra_Payments&lt;Beg_Bal),Scheduled_Extra_Payments,IF(AND(Pay_Num&lt;&gt;"",Beg_Bal-Sched_Pay&gt;0),Beg_Bal-Sched_Pay,IF(Pay_Num&lt;&gt;"",0,"")))</f>
        <v>0</v>
      </c>
      <c r="F37" s="70">
        <f>IF(AND(Pay_Num&lt;&gt;"",Sched_Pay+Extra_Pay&lt;Beg_Bal),Sched_Pay+Extra_Pay,IF(Pay_Num&lt;&gt;"",Beg_Bal,""))</f>
        <v>2418.3976845093252</v>
      </c>
      <c r="G37" s="70">
        <f>IF(Pay_Num&lt;&gt;"",Total_Pay-Int,"")</f>
        <v>2275.0943395693139</v>
      </c>
      <c r="H37" s="70">
        <f>IF(Pay_Num&lt;&gt;"",Beg_Bal*Interest_Rate/Num_Pmt_Per_Year,"")</f>
        <v>143.30334494001124</v>
      </c>
      <c r="I37" s="70">
        <f>IF(AND(Pay_Num&lt;&gt;"",Sched_Pay+Extra_Pay&lt;Beg_Bal),Beg_Bal-Princ,IF(Pay_Num&lt;&gt;"",0,""))</f>
        <v>9383.482875889229</v>
      </c>
      <c r="J37" s="70">
        <f>SUM($H$18:$H37)</f>
        <v>7751.4365660757312</v>
      </c>
    </row>
    <row r="38" spans="1:10" x14ac:dyDescent="0.3">
      <c r="A38" s="36">
        <f>IF(Values_Entered,A37+1,"")</f>
        <v>21</v>
      </c>
      <c r="B38" s="35">
        <f>IF(Pay_Num&lt;&gt;"",DATE(YEAR(Loan_Start),MONTH(Loan_Start)+(Pay_Num)*12/Num_Pmt_Per_Year,DAY(Loan_Start)),"")</f>
        <v>46023</v>
      </c>
      <c r="C38" s="70">
        <f>IF(Pay_Num&lt;&gt;"",I37,"")</f>
        <v>9383.482875889229</v>
      </c>
      <c r="D38" s="70">
        <f>IF(Pay_Num&lt;&gt;"",Scheduled_Monthly_Payment,"")</f>
        <v>2418.3976845093252</v>
      </c>
      <c r="E38" s="71">
        <f>IF(AND(Pay_Num&lt;&gt;"",Sched_Pay+Scheduled_Extra_Payments&lt;Beg_Bal),Scheduled_Extra_Payments,IF(AND(Pay_Num&lt;&gt;"",Beg_Bal-Sched_Pay&gt;0),Beg_Bal-Sched_Pay,IF(Pay_Num&lt;&gt;"",0,"")))</f>
        <v>0</v>
      </c>
      <c r="F38" s="70">
        <f>IF(AND(Pay_Num&lt;&gt;"",Sched_Pay+Extra_Pay&lt;Beg_Bal),Sched_Pay+Extra_Pay,IF(Pay_Num&lt;&gt;"",Beg_Bal,""))</f>
        <v>2418.3976845093252</v>
      </c>
      <c r="G38" s="70">
        <f>IF(Pay_Num&lt;&gt;"",Total_Pay-Int,"")</f>
        <v>2303.0590408265202</v>
      </c>
      <c r="H38" s="70">
        <f>IF(Pay_Num&lt;&gt;"",Beg_Bal*Interest_Rate/Num_Pmt_Per_Year,"")</f>
        <v>115.33864368280511</v>
      </c>
      <c r="I38" s="70">
        <f>IF(AND(Pay_Num&lt;&gt;"",Sched_Pay+Extra_Pay&lt;Beg_Bal),Beg_Bal-Princ,IF(Pay_Num&lt;&gt;"",0,""))</f>
        <v>7080.4238350627093</v>
      </c>
      <c r="J38" s="70">
        <f>SUM($H$18:$H38)</f>
        <v>7866.7752097585362</v>
      </c>
    </row>
    <row r="39" spans="1:10" x14ac:dyDescent="0.3">
      <c r="A39" s="36">
        <f>IF(Values_Entered,A38+1,"")</f>
        <v>22</v>
      </c>
      <c r="B39" s="35">
        <f>IF(Pay_Num&lt;&gt;"",DATE(YEAR(Loan_Start),MONTH(Loan_Start)+(Pay_Num)*12/Num_Pmt_Per_Year,DAY(Loan_Start)),"")</f>
        <v>46054</v>
      </c>
      <c r="C39" s="70">
        <f>IF(Pay_Num&lt;&gt;"",I38,"")</f>
        <v>7080.4238350627093</v>
      </c>
      <c r="D39" s="70">
        <f>IF(Pay_Num&lt;&gt;"",Scheduled_Monthly_Payment,"")</f>
        <v>2418.3976845093252</v>
      </c>
      <c r="E39" s="71">
        <f>IF(AND(Pay_Num&lt;&gt;"",Sched_Pay+Scheduled_Extra_Payments&lt;Beg_Bal),Scheduled_Extra_Payments,IF(AND(Pay_Num&lt;&gt;"",Beg_Bal-Sched_Pay&gt;0),Beg_Bal-Sched_Pay,IF(Pay_Num&lt;&gt;"",0,"")))</f>
        <v>0</v>
      </c>
      <c r="F39" s="70">
        <f>IF(AND(Pay_Num&lt;&gt;"",Sched_Pay+Extra_Pay&lt;Beg_Bal),Sched_Pay+Extra_Pay,IF(Pay_Num&lt;&gt;"",Beg_Bal,""))</f>
        <v>2418.3976845093252</v>
      </c>
      <c r="G39" s="70">
        <f>IF(Pay_Num&lt;&gt;"",Total_Pay-Int,"")</f>
        <v>2331.3674748700128</v>
      </c>
      <c r="H39" s="70">
        <f>IF(Pay_Num&lt;&gt;"",Beg_Bal*Interest_Rate/Num_Pmt_Per_Year,"")</f>
        <v>87.030209639312474</v>
      </c>
      <c r="I39" s="70">
        <f>IF(AND(Pay_Num&lt;&gt;"",Sched_Pay+Extra_Pay&lt;Beg_Bal),Beg_Bal-Princ,IF(Pay_Num&lt;&gt;"",0,""))</f>
        <v>4749.056360192697</v>
      </c>
      <c r="J39" s="70">
        <f>SUM($H$18:$H39)</f>
        <v>7953.8054193978487</v>
      </c>
    </row>
    <row r="40" spans="1:10" x14ac:dyDescent="0.3">
      <c r="A40" s="36">
        <f>IF(Values_Entered,A39+1,"")</f>
        <v>23</v>
      </c>
      <c r="B40" s="35">
        <f>IF(Pay_Num&lt;&gt;"",DATE(YEAR(Loan_Start),MONTH(Loan_Start)+(Pay_Num)*12/Num_Pmt_Per_Year,DAY(Loan_Start)),"")</f>
        <v>46082</v>
      </c>
      <c r="C40" s="70">
        <f>IF(Pay_Num&lt;&gt;"",I39,"")</f>
        <v>4749.056360192697</v>
      </c>
      <c r="D40" s="70">
        <f>IF(Pay_Num&lt;&gt;"",Scheduled_Monthly_Payment,"")</f>
        <v>2418.3976845093252</v>
      </c>
      <c r="E40" s="71">
        <f>IF(AND(Pay_Num&lt;&gt;"",Sched_Pay+Scheduled_Extra_Payments&lt;Beg_Bal),Scheduled_Extra_Payments,IF(AND(Pay_Num&lt;&gt;"",Beg_Bal-Sched_Pay&gt;0),Beg_Bal-Sched_Pay,IF(Pay_Num&lt;&gt;"",0,"")))</f>
        <v>0</v>
      </c>
      <c r="F40" s="70">
        <f>IF(AND(Pay_Num&lt;&gt;"",Sched_Pay+Extra_Pay&lt;Beg_Bal),Sched_Pay+Extra_Pay,IF(Pay_Num&lt;&gt;"",Beg_Bal,""))</f>
        <v>2418.3976845093252</v>
      </c>
      <c r="G40" s="70">
        <f>IF(Pay_Num&lt;&gt;"",Total_Pay-Int,"")</f>
        <v>2360.0238667486233</v>
      </c>
      <c r="H40" s="70">
        <f>IF(Pay_Num&lt;&gt;"",Beg_Bal*Interest_Rate/Num_Pmt_Per_Year,"")</f>
        <v>58.373817760701904</v>
      </c>
      <c r="I40" s="70">
        <f>IF(AND(Pay_Num&lt;&gt;"",Sched_Pay+Extra_Pay&lt;Beg_Bal),Beg_Bal-Princ,IF(Pay_Num&lt;&gt;"",0,""))</f>
        <v>2389.0324934440737</v>
      </c>
      <c r="J40" s="70">
        <f>SUM($H$18:$H40)</f>
        <v>8012.1792371585507</v>
      </c>
    </row>
    <row r="41" spans="1:10" x14ac:dyDescent="0.3">
      <c r="A41" s="36">
        <f>IF(Values_Entered,A40+1,"")</f>
        <v>24</v>
      </c>
      <c r="B41" s="35">
        <f>IF(Pay_Num&lt;&gt;"",DATE(YEAR(Loan_Start),MONTH(Loan_Start)+(Pay_Num)*12/Num_Pmt_Per_Year,DAY(Loan_Start)),"")</f>
        <v>46113</v>
      </c>
      <c r="C41" s="70">
        <f>IF(Pay_Num&lt;&gt;"",I40,"")</f>
        <v>2389.0324934440737</v>
      </c>
      <c r="D41" s="70">
        <f>IF(Pay_Num&lt;&gt;"",Scheduled_Monthly_Payment,"")</f>
        <v>2418.3976845093252</v>
      </c>
      <c r="E41" s="71">
        <f>IF(AND(Pay_Num&lt;&gt;"",Sched_Pay+Scheduled_Extra_Payments&lt;Beg_Bal),Scheduled_Extra_Payments,IF(AND(Pay_Num&lt;&gt;"",Beg_Bal-Sched_Pay&gt;0),Beg_Bal-Sched_Pay,IF(Pay_Num&lt;&gt;"",0,"")))</f>
        <v>0</v>
      </c>
      <c r="F41" s="70">
        <f>IF(AND(Pay_Num&lt;&gt;"",Sched_Pay+Extra_Pay&lt;Beg_Bal),Sched_Pay+Extra_Pay,IF(Pay_Num&lt;&gt;"",Beg_Bal,""))</f>
        <v>2389.0324934440737</v>
      </c>
      <c r="G41" s="70">
        <f>IF(Pay_Num&lt;&gt;"",Total_Pay-Int,"")</f>
        <v>2359.6673023788235</v>
      </c>
      <c r="H41" s="70">
        <f>IF(Pay_Num&lt;&gt;"",Beg_Bal*Interest_Rate/Num_Pmt_Per_Year,"")</f>
        <v>29.36519106525007</v>
      </c>
      <c r="I41" s="70">
        <f>IF(AND(Pay_Num&lt;&gt;"",Sched_Pay+Extra_Pay&lt;Beg_Bal),Beg_Bal-Princ,IF(Pay_Num&lt;&gt;"",0,""))</f>
        <v>0</v>
      </c>
      <c r="J41" s="70">
        <f>SUM($H$18:$H41)</f>
        <v>8041.5444282238004</v>
      </c>
    </row>
    <row r="42" spans="1:10" x14ac:dyDescent="0.3">
      <c r="A42" s="36">
        <f>IF(Values_Entered,A41+1,"")</f>
        <v>25</v>
      </c>
      <c r="B42" s="35">
        <f>IF(Pay_Num&lt;&gt;"",DATE(YEAR(Loan_Start),MONTH(Loan_Start)+(Pay_Num)*12/Num_Pmt_Per_Year,DAY(Loan_Start)),"")</f>
        <v>46143</v>
      </c>
      <c r="C42" s="70">
        <f>IF(Pay_Num&lt;&gt;"",I41,"")</f>
        <v>0</v>
      </c>
      <c r="D42" s="70">
        <f>IF(Pay_Num&lt;&gt;"",Scheduled_Monthly_Payment,"")</f>
        <v>2418.3976845093252</v>
      </c>
      <c r="E42" s="71">
        <f>IF(AND(Pay_Num&lt;&gt;"",Sched_Pay+Scheduled_Extra_Payments&lt;Beg_Bal),Scheduled_Extra_Payments,IF(AND(Pay_Num&lt;&gt;"",Beg_Bal-Sched_Pay&gt;0),Beg_Bal-Sched_Pay,IF(Pay_Num&lt;&gt;"",0,"")))</f>
        <v>0</v>
      </c>
      <c r="F42" s="70">
        <f>IF(AND(Pay_Num&lt;&gt;"",Sched_Pay+Extra_Pay&lt;Beg_Bal),Sched_Pay+Extra_Pay,IF(Pay_Num&lt;&gt;"",Beg_Bal,""))</f>
        <v>0</v>
      </c>
      <c r="G42" s="70">
        <f>IF(Pay_Num&lt;&gt;"",Total_Pay-Int,"")</f>
        <v>0</v>
      </c>
      <c r="H42" s="70">
        <f>IF(Pay_Num&lt;&gt;"",Beg_Bal*Interest_Rate/Num_Pmt_Per_Year,"")</f>
        <v>0</v>
      </c>
      <c r="I42" s="70">
        <f>IF(AND(Pay_Num&lt;&gt;"",Sched_Pay+Extra_Pay&lt;Beg_Bal),Beg_Bal-Princ,IF(Pay_Num&lt;&gt;"",0,""))</f>
        <v>0</v>
      </c>
      <c r="J42" s="70">
        <f>SUM($H$18:$H42)</f>
        <v>8041.5444282238004</v>
      </c>
    </row>
    <row r="43" spans="1:10" x14ac:dyDescent="0.3">
      <c r="A43" s="36">
        <f>IF(Values_Entered,A42+1,"")</f>
        <v>26</v>
      </c>
      <c r="B43" s="35">
        <f>IF(Pay_Num&lt;&gt;"",DATE(YEAR(Loan_Start),MONTH(Loan_Start)+(Pay_Num)*12/Num_Pmt_Per_Year,DAY(Loan_Start)),"")</f>
        <v>46174</v>
      </c>
      <c r="C43" s="70">
        <f>IF(Pay_Num&lt;&gt;"",I42,"")</f>
        <v>0</v>
      </c>
      <c r="D43" s="70">
        <f>IF(Pay_Num&lt;&gt;"",Scheduled_Monthly_Payment,"")</f>
        <v>2418.3976845093252</v>
      </c>
      <c r="E43" s="71">
        <f>IF(AND(Pay_Num&lt;&gt;"",Sched_Pay+Scheduled_Extra_Payments&lt;Beg_Bal),Scheduled_Extra_Payments,IF(AND(Pay_Num&lt;&gt;"",Beg_Bal-Sched_Pay&gt;0),Beg_Bal-Sched_Pay,IF(Pay_Num&lt;&gt;"",0,"")))</f>
        <v>0</v>
      </c>
      <c r="F43" s="70">
        <f>IF(AND(Pay_Num&lt;&gt;"",Sched_Pay+Extra_Pay&lt;Beg_Bal),Sched_Pay+Extra_Pay,IF(Pay_Num&lt;&gt;"",Beg_Bal,""))</f>
        <v>0</v>
      </c>
      <c r="G43" s="70">
        <f>IF(Pay_Num&lt;&gt;"",Total_Pay-Int,"")</f>
        <v>0</v>
      </c>
      <c r="H43" s="70">
        <f>IF(Pay_Num&lt;&gt;"",Beg_Bal*Interest_Rate/Num_Pmt_Per_Year,"")</f>
        <v>0</v>
      </c>
      <c r="I43" s="70">
        <f>IF(AND(Pay_Num&lt;&gt;"",Sched_Pay+Extra_Pay&lt;Beg_Bal),Beg_Bal-Princ,IF(Pay_Num&lt;&gt;"",0,""))</f>
        <v>0</v>
      </c>
      <c r="J43" s="70">
        <f>SUM($H$18:$H43)</f>
        <v>8041.5444282238004</v>
      </c>
    </row>
    <row r="44" spans="1:10" x14ac:dyDescent="0.3">
      <c r="A44" s="36">
        <f>IF(Values_Entered,A43+1,"")</f>
        <v>27</v>
      </c>
      <c r="B44" s="35">
        <f>IF(Pay_Num&lt;&gt;"",DATE(YEAR(Loan_Start),MONTH(Loan_Start)+(Pay_Num)*12/Num_Pmt_Per_Year,DAY(Loan_Start)),"")</f>
        <v>46204</v>
      </c>
      <c r="C44" s="70">
        <f>IF(Pay_Num&lt;&gt;"",I43,"")</f>
        <v>0</v>
      </c>
      <c r="D44" s="70">
        <f>IF(Pay_Num&lt;&gt;"",Scheduled_Monthly_Payment,"")</f>
        <v>2418.3976845093252</v>
      </c>
      <c r="E44" s="71">
        <f>IF(AND(Pay_Num&lt;&gt;"",Sched_Pay+Scheduled_Extra_Payments&lt;Beg_Bal),Scheduled_Extra_Payments,IF(AND(Pay_Num&lt;&gt;"",Beg_Bal-Sched_Pay&gt;0),Beg_Bal-Sched_Pay,IF(Pay_Num&lt;&gt;"",0,"")))</f>
        <v>0</v>
      </c>
      <c r="F44" s="70">
        <f>IF(AND(Pay_Num&lt;&gt;"",Sched_Pay+Extra_Pay&lt;Beg_Bal),Sched_Pay+Extra_Pay,IF(Pay_Num&lt;&gt;"",Beg_Bal,""))</f>
        <v>0</v>
      </c>
      <c r="G44" s="70">
        <f>IF(Pay_Num&lt;&gt;"",Total_Pay-Int,"")</f>
        <v>0</v>
      </c>
      <c r="H44" s="70">
        <f>IF(Pay_Num&lt;&gt;"",Beg_Bal*Interest_Rate/Num_Pmt_Per_Year,"")</f>
        <v>0</v>
      </c>
      <c r="I44" s="70">
        <f>IF(AND(Pay_Num&lt;&gt;"",Sched_Pay+Extra_Pay&lt;Beg_Bal),Beg_Bal-Princ,IF(Pay_Num&lt;&gt;"",0,""))</f>
        <v>0</v>
      </c>
      <c r="J44" s="70">
        <f>SUM($H$18:$H44)</f>
        <v>8041.5444282238004</v>
      </c>
    </row>
    <row r="45" spans="1:10" x14ac:dyDescent="0.3">
      <c r="A45" s="36">
        <f>IF(Values_Entered,A44+1,"")</f>
        <v>28</v>
      </c>
      <c r="B45" s="35">
        <f>IF(Pay_Num&lt;&gt;"",DATE(YEAR(Loan_Start),MONTH(Loan_Start)+(Pay_Num)*12/Num_Pmt_Per_Year,DAY(Loan_Start)),"")</f>
        <v>46235</v>
      </c>
      <c r="C45" s="70">
        <f>IF(Pay_Num&lt;&gt;"",I44,"")</f>
        <v>0</v>
      </c>
      <c r="D45" s="70">
        <f>IF(Pay_Num&lt;&gt;"",Scheduled_Monthly_Payment,"")</f>
        <v>2418.3976845093252</v>
      </c>
      <c r="E45" s="71">
        <f>IF(AND(Pay_Num&lt;&gt;"",Sched_Pay+Scheduled_Extra_Payments&lt;Beg_Bal),Scheduled_Extra_Payments,IF(AND(Pay_Num&lt;&gt;"",Beg_Bal-Sched_Pay&gt;0),Beg_Bal-Sched_Pay,IF(Pay_Num&lt;&gt;"",0,"")))</f>
        <v>0</v>
      </c>
      <c r="F45" s="70">
        <f>IF(AND(Pay_Num&lt;&gt;"",Sched_Pay+Extra_Pay&lt;Beg_Bal),Sched_Pay+Extra_Pay,IF(Pay_Num&lt;&gt;"",Beg_Bal,""))</f>
        <v>0</v>
      </c>
      <c r="G45" s="70">
        <f>IF(Pay_Num&lt;&gt;"",Total_Pay-Int,"")</f>
        <v>0</v>
      </c>
      <c r="H45" s="70">
        <f>IF(Pay_Num&lt;&gt;"",Beg_Bal*Interest_Rate/Num_Pmt_Per_Year,"")</f>
        <v>0</v>
      </c>
      <c r="I45" s="70">
        <f>IF(AND(Pay_Num&lt;&gt;"",Sched_Pay+Extra_Pay&lt;Beg_Bal),Beg_Bal-Princ,IF(Pay_Num&lt;&gt;"",0,""))</f>
        <v>0</v>
      </c>
      <c r="J45" s="70">
        <f>SUM($H$18:$H45)</f>
        <v>8041.5444282238004</v>
      </c>
    </row>
    <row r="46" spans="1:10" x14ac:dyDescent="0.3">
      <c r="A46" s="36">
        <f>IF(Values_Entered,A45+1,"")</f>
        <v>29</v>
      </c>
      <c r="B46" s="35">
        <f>IF(Pay_Num&lt;&gt;"",DATE(YEAR(Loan_Start),MONTH(Loan_Start)+(Pay_Num)*12/Num_Pmt_Per_Year,DAY(Loan_Start)),"")</f>
        <v>46266</v>
      </c>
      <c r="C46" s="70">
        <f>IF(Pay_Num&lt;&gt;"",I45,"")</f>
        <v>0</v>
      </c>
      <c r="D46" s="70">
        <f>IF(Pay_Num&lt;&gt;"",Scheduled_Monthly_Payment,"")</f>
        <v>2418.3976845093252</v>
      </c>
      <c r="E46" s="71">
        <f>IF(AND(Pay_Num&lt;&gt;"",Sched_Pay+Scheduled_Extra_Payments&lt;Beg_Bal),Scheduled_Extra_Payments,IF(AND(Pay_Num&lt;&gt;"",Beg_Bal-Sched_Pay&gt;0),Beg_Bal-Sched_Pay,IF(Pay_Num&lt;&gt;"",0,"")))</f>
        <v>0</v>
      </c>
      <c r="F46" s="70">
        <f>IF(AND(Pay_Num&lt;&gt;"",Sched_Pay+Extra_Pay&lt;Beg_Bal),Sched_Pay+Extra_Pay,IF(Pay_Num&lt;&gt;"",Beg_Bal,""))</f>
        <v>0</v>
      </c>
      <c r="G46" s="70">
        <f>IF(Pay_Num&lt;&gt;"",Total_Pay-Int,"")</f>
        <v>0</v>
      </c>
      <c r="H46" s="70">
        <f>IF(Pay_Num&lt;&gt;"",Beg_Bal*Interest_Rate/Num_Pmt_Per_Year,"")</f>
        <v>0</v>
      </c>
      <c r="I46" s="70">
        <f>IF(AND(Pay_Num&lt;&gt;"",Sched_Pay+Extra_Pay&lt;Beg_Bal),Beg_Bal-Princ,IF(Pay_Num&lt;&gt;"",0,""))</f>
        <v>0</v>
      </c>
      <c r="J46" s="70">
        <f>SUM($H$18:$H46)</f>
        <v>8041.5444282238004</v>
      </c>
    </row>
    <row r="47" spans="1:10" x14ac:dyDescent="0.3">
      <c r="A47" s="36">
        <f>IF(Values_Entered,A46+1,"")</f>
        <v>30</v>
      </c>
      <c r="B47" s="35">
        <f>IF(Pay_Num&lt;&gt;"",DATE(YEAR(Loan_Start),MONTH(Loan_Start)+(Pay_Num)*12/Num_Pmt_Per_Year,DAY(Loan_Start)),"")</f>
        <v>46296</v>
      </c>
      <c r="C47" s="70">
        <f>IF(Pay_Num&lt;&gt;"",I46,"")</f>
        <v>0</v>
      </c>
      <c r="D47" s="70">
        <f>IF(Pay_Num&lt;&gt;"",Scheduled_Monthly_Payment,"")</f>
        <v>2418.3976845093252</v>
      </c>
      <c r="E47" s="71">
        <f>IF(AND(Pay_Num&lt;&gt;"",Sched_Pay+Scheduled_Extra_Payments&lt;Beg_Bal),Scheduled_Extra_Payments,IF(AND(Pay_Num&lt;&gt;"",Beg_Bal-Sched_Pay&gt;0),Beg_Bal-Sched_Pay,IF(Pay_Num&lt;&gt;"",0,"")))</f>
        <v>0</v>
      </c>
      <c r="F47" s="70">
        <f>IF(AND(Pay_Num&lt;&gt;"",Sched_Pay+Extra_Pay&lt;Beg_Bal),Sched_Pay+Extra_Pay,IF(Pay_Num&lt;&gt;"",Beg_Bal,""))</f>
        <v>0</v>
      </c>
      <c r="G47" s="70">
        <f>IF(Pay_Num&lt;&gt;"",Total_Pay-Int,"")</f>
        <v>0</v>
      </c>
      <c r="H47" s="70">
        <f>IF(Pay_Num&lt;&gt;"",Beg_Bal*Interest_Rate/Num_Pmt_Per_Year,"")</f>
        <v>0</v>
      </c>
      <c r="I47" s="70">
        <f>IF(AND(Pay_Num&lt;&gt;"",Sched_Pay+Extra_Pay&lt;Beg_Bal),Beg_Bal-Princ,IF(Pay_Num&lt;&gt;"",0,""))</f>
        <v>0</v>
      </c>
      <c r="J47" s="70">
        <f>SUM($H$18:$H47)</f>
        <v>8041.5444282238004</v>
      </c>
    </row>
    <row r="48" spans="1:10" x14ac:dyDescent="0.3">
      <c r="A48" s="36">
        <f>IF(Values_Entered,A47+1,"")</f>
        <v>31</v>
      </c>
      <c r="B48" s="35">
        <f>IF(Pay_Num&lt;&gt;"",DATE(YEAR(Loan_Start),MONTH(Loan_Start)+(Pay_Num)*12/Num_Pmt_Per_Year,DAY(Loan_Start)),"")</f>
        <v>46327</v>
      </c>
      <c r="C48" s="70">
        <f>IF(Pay_Num&lt;&gt;"",I47,"")</f>
        <v>0</v>
      </c>
      <c r="D48" s="70">
        <f>IF(Pay_Num&lt;&gt;"",Scheduled_Monthly_Payment,"")</f>
        <v>2418.3976845093252</v>
      </c>
      <c r="E48" s="71">
        <f>IF(AND(Pay_Num&lt;&gt;"",Sched_Pay+Scheduled_Extra_Payments&lt;Beg_Bal),Scheduled_Extra_Payments,IF(AND(Pay_Num&lt;&gt;"",Beg_Bal-Sched_Pay&gt;0),Beg_Bal-Sched_Pay,IF(Pay_Num&lt;&gt;"",0,"")))</f>
        <v>0</v>
      </c>
      <c r="F48" s="70">
        <f>IF(AND(Pay_Num&lt;&gt;"",Sched_Pay+Extra_Pay&lt;Beg_Bal),Sched_Pay+Extra_Pay,IF(Pay_Num&lt;&gt;"",Beg_Bal,""))</f>
        <v>0</v>
      </c>
      <c r="G48" s="70">
        <f>IF(Pay_Num&lt;&gt;"",Total_Pay-Int,"")</f>
        <v>0</v>
      </c>
      <c r="H48" s="70">
        <f>IF(Pay_Num&lt;&gt;"",Beg_Bal*Interest_Rate/Num_Pmt_Per_Year,"")</f>
        <v>0</v>
      </c>
      <c r="I48" s="70">
        <f>IF(AND(Pay_Num&lt;&gt;"",Sched_Pay+Extra_Pay&lt;Beg_Bal),Beg_Bal-Princ,IF(Pay_Num&lt;&gt;"",0,""))</f>
        <v>0</v>
      </c>
      <c r="J48" s="70">
        <f>SUM($H$18:$H48)</f>
        <v>8041.5444282238004</v>
      </c>
    </row>
    <row r="49" spans="1:10" x14ac:dyDescent="0.3">
      <c r="A49" s="36">
        <f>IF(Values_Entered,A48+1,"")</f>
        <v>32</v>
      </c>
      <c r="B49" s="35">
        <f>IF(Pay_Num&lt;&gt;"",DATE(YEAR(Loan_Start),MONTH(Loan_Start)+(Pay_Num)*12/Num_Pmt_Per_Year,DAY(Loan_Start)),"")</f>
        <v>46357</v>
      </c>
      <c r="C49" s="70">
        <f>IF(Pay_Num&lt;&gt;"",I48,"")</f>
        <v>0</v>
      </c>
      <c r="D49" s="70">
        <f>IF(Pay_Num&lt;&gt;"",Scheduled_Monthly_Payment,"")</f>
        <v>2418.3976845093252</v>
      </c>
      <c r="E49" s="71">
        <f>IF(AND(Pay_Num&lt;&gt;"",Sched_Pay+Scheduled_Extra_Payments&lt;Beg_Bal),Scheduled_Extra_Payments,IF(AND(Pay_Num&lt;&gt;"",Beg_Bal-Sched_Pay&gt;0),Beg_Bal-Sched_Pay,IF(Pay_Num&lt;&gt;"",0,"")))</f>
        <v>0</v>
      </c>
      <c r="F49" s="70">
        <f>IF(AND(Pay_Num&lt;&gt;"",Sched_Pay+Extra_Pay&lt;Beg_Bal),Sched_Pay+Extra_Pay,IF(Pay_Num&lt;&gt;"",Beg_Bal,""))</f>
        <v>0</v>
      </c>
      <c r="G49" s="70">
        <f>IF(Pay_Num&lt;&gt;"",Total_Pay-Int,"")</f>
        <v>0</v>
      </c>
      <c r="H49" s="70">
        <f>IF(Pay_Num&lt;&gt;"",Beg_Bal*Interest_Rate/Num_Pmt_Per_Year,"")</f>
        <v>0</v>
      </c>
      <c r="I49" s="70">
        <f>IF(AND(Pay_Num&lt;&gt;"",Sched_Pay+Extra_Pay&lt;Beg_Bal),Beg_Bal-Princ,IF(Pay_Num&lt;&gt;"",0,""))</f>
        <v>0</v>
      </c>
      <c r="J49" s="70">
        <f>SUM($H$18:$H49)</f>
        <v>8041.5444282238004</v>
      </c>
    </row>
    <row r="50" spans="1:10" x14ac:dyDescent="0.3">
      <c r="A50" s="36">
        <f>IF(Values_Entered,A49+1,"")</f>
        <v>33</v>
      </c>
      <c r="B50" s="35">
        <f>IF(Pay_Num&lt;&gt;"",DATE(YEAR(Loan_Start),MONTH(Loan_Start)+(Pay_Num)*12/Num_Pmt_Per_Year,DAY(Loan_Start)),"")</f>
        <v>46388</v>
      </c>
      <c r="C50" s="70">
        <f>IF(Pay_Num&lt;&gt;"",I49,"")</f>
        <v>0</v>
      </c>
      <c r="D50" s="70">
        <f>IF(Pay_Num&lt;&gt;"",Scheduled_Monthly_Payment,"")</f>
        <v>2418.3976845093252</v>
      </c>
      <c r="E50" s="71">
        <f>IF(AND(Pay_Num&lt;&gt;"",Sched_Pay+Scheduled_Extra_Payments&lt;Beg_Bal),Scheduled_Extra_Payments,IF(AND(Pay_Num&lt;&gt;"",Beg_Bal-Sched_Pay&gt;0),Beg_Bal-Sched_Pay,IF(Pay_Num&lt;&gt;"",0,"")))</f>
        <v>0</v>
      </c>
      <c r="F50" s="70">
        <f>IF(AND(Pay_Num&lt;&gt;"",Sched_Pay+Extra_Pay&lt;Beg_Bal),Sched_Pay+Extra_Pay,IF(Pay_Num&lt;&gt;"",Beg_Bal,""))</f>
        <v>0</v>
      </c>
      <c r="G50" s="70">
        <f>IF(Pay_Num&lt;&gt;"",Total_Pay-Int,"")</f>
        <v>0</v>
      </c>
      <c r="H50" s="70">
        <f>IF(Pay_Num&lt;&gt;"",Beg_Bal*Interest_Rate/Num_Pmt_Per_Year,"")</f>
        <v>0</v>
      </c>
      <c r="I50" s="70">
        <f>IF(AND(Pay_Num&lt;&gt;"",Sched_Pay+Extra_Pay&lt;Beg_Bal),Beg_Bal-Princ,IF(Pay_Num&lt;&gt;"",0,""))</f>
        <v>0</v>
      </c>
      <c r="J50" s="70">
        <f>SUM($H$18:$H50)</f>
        <v>8041.5444282238004</v>
      </c>
    </row>
    <row r="51" spans="1:10" x14ac:dyDescent="0.3">
      <c r="A51" s="36">
        <f>IF(Values_Entered,A50+1,"")</f>
        <v>34</v>
      </c>
      <c r="B51" s="35">
        <f>IF(Pay_Num&lt;&gt;"",DATE(YEAR(Loan_Start),MONTH(Loan_Start)+(Pay_Num)*12/Num_Pmt_Per_Year,DAY(Loan_Start)),"")</f>
        <v>46419</v>
      </c>
      <c r="C51" s="70">
        <f>IF(Pay_Num&lt;&gt;"",I50,"")</f>
        <v>0</v>
      </c>
      <c r="D51" s="70">
        <f>IF(Pay_Num&lt;&gt;"",Scheduled_Monthly_Payment,"")</f>
        <v>2418.3976845093252</v>
      </c>
      <c r="E51" s="71">
        <f>IF(AND(Pay_Num&lt;&gt;"",Sched_Pay+Scheduled_Extra_Payments&lt;Beg_Bal),Scheduled_Extra_Payments,IF(AND(Pay_Num&lt;&gt;"",Beg_Bal-Sched_Pay&gt;0),Beg_Bal-Sched_Pay,IF(Pay_Num&lt;&gt;"",0,"")))</f>
        <v>0</v>
      </c>
      <c r="F51" s="70">
        <f>IF(AND(Pay_Num&lt;&gt;"",Sched_Pay+Extra_Pay&lt;Beg_Bal),Sched_Pay+Extra_Pay,IF(Pay_Num&lt;&gt;"",Beg_Bal,""))</f>
        <v>0</v>
      </c>
      <c r="G51" s="70">
        <f>IF(Pay_Num&lt;&gt;"",Total_Pay-Int,"")</f>
        <v>0</v>
      </c>
      <c r="H51" s="70">
        <f>IF(Pay_Num&lt;&gt;"",Beg_Bal*Interest_Rate/Num_Pmt_Per_Year,"")</f>
        <v>0</v>
      </c>
      <c r="I51" s="70">
        <f>IF(AND(Pay_Num&lt;&gt;"",Sched_Pay+Extra_Pay&lt;Beg_Bal),Beg_Bal-Princ,IF(Pay_Num&lt;&gt;"",0,""))</f>
        <v>0</v>
      </c>
      <c r="J51" s="70">
        <f>SUM($H$18:$H51)</f>
        <v>8041.5444282238004</v>
      </c>
    </row>
    <row r="52" spans="1:10" x14ac:dyDescent="0.3">
      <c r="A52" s="36">
        <f>IF(Values_Entered,A51+1,"")</f>
        <v>35</v>
      </c>
      <c r="B52" s="35">
        <f>IF(Pay_Num&lt;&gt;"",DATE(YEAR(Loan_Start),MONTH(Loan_Start)+(Pay_Num)*12/Num_Pmt_Per_Year,DAY(Loan_Start)),"")</f>
        <v>46447</v>
      </c>
      <c r="C52" s="70">
        <f>IF(Pay_Num&lt;&gt;"",I51,"")</f>
        <v>0</v>
      </c>
      <c r="D52" s="70">
        <f>IF(Pay_Num&lt;&gt;"",Scheduled_Monthly_Payment,"")</f>
        <v>2418.3976845093252</v>
      </c>
      <c r="E52" s="71">
        <f>IF(AND(Pay_Num&lt;&gt;"",Sched_Pay+Scheduled_Extra_Payments&lt;Beg_Bal),Scheduled_Extra_Payments,IF(AND(Pay_Num&lt;&gt;"",Beg_Bal-Sched_Pay&gt;0),Beg_Bal-Sched_Pay,IF(Pay_Num&lt;&gt;"",0,"")))</f>
        <v>0</v>
      </c>
      <c r="F52" s="70">
        <f>IF(AND(Pay_Num&lt;&gt;"",Sched_Pay+Extra_Pay&lt;Beg_Bal),Sched_Pay+Extra_Pay,IF(Pay_Num&lt;&gt;"",Beg_Bal,""))</f>
        <v>0</v>
      </c>
      <c r="G52" s="70">
        <f>IF(Pay_Num&lt;&gt;"",Total_Pay-Int,"")</f>
        <v>0</v>
      </c>
      <c r="H52" s="70">
        <f>IF(Pay_Num&lt;&gt;"",Beg_Bal*Interest_Rate/Num_Pmt_Per_Year,"")</f>
        <v>0</v>
      </c>
      <c r="I52" s="70">
        <f>IF(AND(Pay_Num&lt;&gt;"",Sched_Pay+Extra_Pay&lt;Beg_Bal),Beg_Bal-Princ,IF(Pay_Num&lt;&gt;"",0,""))</f>
        <v>0</v>
      </c>
      <c r="J52" s="70">
        <f>SUM($H$18:$H52)</f>
        <v>8041.5444282238004</v>
      </c>
    </row>
    <row r="53" spans="1:10" x14ac:dyDescent="0.3">
      <c r="A53" s="36">
        <f>IF(Values_Entered,A52+1,"")</f>
        <v>36</v>
      </c>
      <c r="B53" s="35">
        <f>IF(Pay_Num&lt;&gt;"",DATE(YEAR(Loan_Start),MONTH(Loan_Start)+(Pay_Num)*12/Num_Pmt_Per_Year,DAY(Loan_Start)),"")</f>
        <v>46478</v>
      </c>
      <c r="C53" s="70">
        <f>IF(Pay_Num&lt;&gt;"",I52,"")</f>
        <v>0</v>
      </c>
      <c r="D53" s="70">
        <f>IF(Pay_Num&lt;&gt;"",Scheduled_Monthly_Payment,"")</f>
        <v>2418.3976845093252</v>
      </c>
      <c r="E53" s="71">
        <f>IF(AND(Pay_Num&lt;&gt;"",Sched_Pay+Scheduled_Extra_Payments&lt;Beg_Bal),Scheduled_Extra_Payments,IF(AND(Pay_Num&lt;&gt;"",Beg_Bal-Sched_Pay&gt;0),Beg_Bal-Sched_Pay,IF(Pay_Num&lt;&gt;"",0,"")))</f>
        <v>0</v>
      </c>
      <c r="F53" s="70">
        <f>IF(AND(Pay_Num&lt;&gt;"",Sched_Pay+Extra_Pay&lt;Beg_Bal),Sched_Pay+Extra_Pay,IF(Pay_Num&lt;&gt;"",Beg_Bal,""))</f>
        <v>0</v>
      </c>
      <c r="G53" s="70">
        <f>IF(Pay_Num&lt;&gt;"",Total_Pay-Int,"")</f>
        <v>0</v>
      </c>
      <c r="H53" s="70">
        <f>IF(Pay_Num&lt;&gt;"",Beg_Bal*Interest_Rate/Num_Pmt_Per_Year,"")</f>
        <v>0</v>
      </c>
      <c r="I53" s="70">
        <f>IF(AND(Pay_Num&lt;&gt;"",Sched_Pay+Extra_Pay&lt;Beg_Bal),Beg_Bal-Princ,IF(Pay_Num&lt;&gt;"",0,""))</f>
        <v>0</v>
      </c>
      <c r="J53" s="70">
        <f>SUM($H$18:$H53)</f>
        <v>8041.5444282238004</v>
      </c>
    </row>
    <row r="54" spans="1:10" x14ac:dyDescent="0.3">
      <c r="A54" s="36">
        <f>IF(Values_Entered,A53+1,"")</f>
        <v>37</v>
      </c>
      <c r="B54" s="35">
        <f>IF(Pay_Num&lt;&gt;"",DATE(YEAR(Loan_Start),MONTH(Loan_Start)+(Pay_Num)*12/Num_Pmt_Per_Year,DAY(Loan_Start)),"")</f>
        <v>46508</v>
      </c>
      <c r="C54" s="70">
        <f>IF(Pay_Num&lt;&gt;"",I53,"")</f>
        <v>0</v>
      </c>
      <c r="D54" s="70">
        <f>IF(Pay_Num&lt;&gt;"",Scheduled_Monthly_Payment,"")</f>
        <v>2418.3976845093252</v>
      </c>
      <c r="E54" s="71">
        <f>IF(AND(Pay_Num&lt;&gt;"",Sched_Pay+Scheduled_Extra_Payments&lt;Beg_Bal),Scheduled_Extra_Payments,IF(AND(Pay_Num&lt;&gt;"",Beg_Bal-Sched_Pay&gt;0),Beg_Bal-Sched_Pay,IF(Pay_Num&lt;&gt;"",0,"")))</f>
        <v>0</v>
      </c>
      <c r="F54" s="70">
        <f>IF(AND(Pay_Num&lt;&gt;"",Sched_Pay+Extra_Pay&lt;Beg_Bal),Sched_Pay+Extra_Pay,IF(Pay_Num&lt;&gt;"",Beg_Bal,""))</f>
        <v>0</v>
      </c>
      <c r="G54" s="70">
        <f>IF(Pay_Num&lt;&gt;"",Total_Pay-Int,"")</f>
        <v>0</v>
      </c>
      <c r="H54" s="70">
        <f>IF(Pay_Num&lt;&gt;"",Beg_Bal*Interest_Rate/Num_Pmt_Per_Year,"")</f>
        <v>0</v>
      </c>
      <c r="I54" s="70">
        <f>IF(AND(Pay_Num&lt;&gt;"",Sched_Pay+Extra_Pay&lt;Beg_Bal),Beg_Bal-Princ,IF(Pay_Num&lt;&gt;"",0,""))</f>
        <v>0</v>
      </c>
      <c r="J54" s="70">
        <f>SUM($H$18:$H54)</f>
        <v>8041.5444282238004</v>
      </c>
    </row>
    <row r="55" spans="1:10" x14ac:dyDescent="0.3">
      <c r="A55" s="36">
        <f>IF(Values_Entered,A54+1,"")</f>
        <v>38</v>
      </c>
      <c r="B55" s="35">
        <f>IF(Pay_Num&lt;&gt;"",DATE(YEAR(Loan_Start),MONTH(Loan_Start)+(Pay_Num)*12/Num_Pmt_Per_Year,DAY(Loan_Start)),"")</f>
        <v>46539</v>
      </c>
      <c r="C55" s="70">
        <f>IF(Pay_Num&lt;&gt;"",I54,"")</f>
        <v>0</v>
      </c>
      <c r="D55" s="70">
        <f>IF(Pay_Num&lt;&gt;"",Scheduled_Monthly_Payment,"")</f>
        <v>2418.3976845093252</v>
      </c>
      <c r="E55" s="71">
        <f>IF(AND(Pay_Num&lt;&gt;"",Sched_Pay+Scheduled_Extra_Payments&lt;Beg_Bal),Scheduled_Extra_Payments,IF(AND(Pay_Num&lt;&gt;"",Beg_Bal-Sched_Pay&gt;0),Beg_Bal-Sched_Pay,IF(Pay_Num&lt;&gt;"",0,"")))</f>
        <v>0</v>
      </c>
      <c r="F55" s="70">
        <f>IF(AND(Pay_Num&lt;&gt;"",Sched_Pay+Extra_Pay&lt;Beg_Bal),Sched_Pay+Extra_Pay,IF(Pay_Num&lt;&gt;"",Beg_Bal,""))</f>
        <v>0</v>
      </c>
      <c r="G55" s="70">
        <f>IF(Pay_Num&lt;&gt;"",Total_Pay-Int,"")</f>
        <v>0</v>
      </c>
      <c r="H55" s="70">
        <f>IF(Pay_Num&lt;&gt;"",Beg_Bal*Interest_Rate/Num_Pmt_Per_Year,"")</f>
        <v>0</v>
      </c>
      <c r="I55" s="70">
        <f>IF(AND(Pay_Num&lt;&gt;"",Sched_Pay+Extra_Pay&lt;Beg_Bal),Beg_Bal-Princ,IF(Pay_Num&lt;&gt;"",0,""))</f>
        <v>0</v>
      </c>
      <c r="J55" s="70">
        <f>SUM($H$18:$H55)</f>
        <v>8041.5444282238004</v>
      </c>
    </row>
    <row r="56" spans="1:10" x14ac:dyDescent="0.3">
      <c r="A56" s="36">
        <f>IF(Values_Entered,A55+1,"")</f>
        <v>39</v>
      </c>
      <c r="B56" s="35">
        <f>IF(Pay_Num&lt;&gt;"",DATE(YEAR(Loan_Start),MONTH(Loan_Start)+(Pay_Num)*12/Num_Pmt_Per_Year,DAY(Loan_Start)),"")</f>
        <v>46569</v>
      </c>
      <c r="C56" s="70">
        <f>IF(Pay_Num&lt;&gt;"",I55,"")</f>
        <v>0</v>
      </c>
      <c r="D56" s="70">
        <f>IF(Pay_Num&lt;&gt;"",Scheduled_Monthly_Payment,"")</f>
        <v>2418.3976845093252</v>
      </c>
      <c r="E56" s="71">
        <f>IF(AND(Pay_Num&lt;&gt;"",Sched_Pay+Scheduled_Extra_Payments&lt;Beg_Bal),Scheduled_Extra_Payments,IF(AND(Pay_Num&lt;&gt;"",Beg_Bal-Sched_Pay&gt;0),Beg_Bal-Sched_Pay,IF(Pay_Num&lt;&gt;"",0,"")))</f>
        <v>0</v>
      </c>
      <c r="F56" s="70">
        <f>IF(AND(Pay_Num&lt;&gt;"",Sched_Pay+Extra_Pay&lt;Beg_Bal),Sched_Pay+Extra_Pay,IF(Pay_Num&lt;&gt;"",Beg_Bal,""))</f>
        <v>0</v>
      </c>
      <c r="G56" s="70">
        <f>IF(Pay_Num&lt;&gt;"",Total_Pay-Int,"")</f>
        <v>0</v>
      </c>
      <c r="H56" s="70">
        <f>IF(Pay_Num&lt;&gt;"",Beg_Bal*Interest_Rate/Num_Pmt_Per_Year,"")</f>
        <v>0</v>
      </c>
      <c r="I56" s="70">
        <f>IF(AND(Pay_Num&lt;&gt;"",Sched_Pay+Extra_Pay&lt;Beg_Bal),Beg_Bal-Princ,IF(Pay_Num&lt;&gt;"",0,""))</f>
        <v>0</v>
      </c>
      <c r="J56" s="70">
        <f>SUM($H$18:$H56)</f>
        <v>8041.5444282238004</v>
      </c>
    </row>
    <row r="57" spans="1:10" x14ac:dyDescent="0.3">
      <c r="A57" s="36">
        <f>IF(Values_Entered,A56+1,"")</f>
        <v>40</v>
      </c>
      <c r="B57" s="35">
        <f>IF(Pay_Num&lt;&gt;"",DATE(YEAR(Loan_Start),MONTH(Loan_Start)+(Pay_Num)*12/Num_Pmt_Per_Year,DAY(Loan_Start)),"")</f>
        <v>46600</v>
      </c>
      <c r="C57" s="70">
        <f>IF(Pay_Num&lt;&gt;"",I56,"")</f>
        <v>0</v>
      </c>
      <c r="D57" s="70">
        <f>IF(Pay_Num&lt;&gt;"",Scheduled_Monthly_Payment,"")</f>
        <v>2418.3976845093252</v>
      </c>
      <c r="E57" s="71">
        <f>IF(AND(Pay_Num&lt;&gt;"",Sched_Pay+Scheduled_Extra_Payments&lt;Beg_Bal),Scheduled_Extra_Payments,IF(AND(Pay_Num&lt;&gt;"",Beg_Bal-Sched_Pay&gt;0),Beg_Bal-Sched_Pay,IF(Pay_Num&lt;&gt;"",0,"")))</f>
        <v>0</v>
      </c>
      <c r="F57" s="70">
        <f>IF(AND(Pay_Num&lt;&gt;"",Sched_Pay+Extra_Pay&lt;Beg_Bal),Sched_Pay+Extra_Pay,IF(Pay_Num&lt;&gt;"",Beg_Bal,""))</f>
        <v>0</v>
      </c>
      <c r="G57" s="70">
        <f>IF(Pay_Num&lt;&gt;"",Total_Pay-Int,"")</f>
        <v>0</v>
      </c>
      <c r="H57" s="70">
        <f>IF(Pay_Num&lt;&gt;"",Beg_Bal*Interest_Rate/Num_Pmt_Per_Year,"")</f>
        <v>0</v>
      </c>
      <c r="I57" s="70">
        <f>IF(AND(Pay_Num&lt;&gt;"",Sched_Pay+Extra_Pay&lt;Beg_Bal),Beg_Bal-Princ,IF(Pay_Num&lt;&gt;"",0,""))</f>
        <v>0</v>
      </c>
      <c r="J57" s="70">
        <f>SUM($H$18:$H57)</f>
        <v>8041.5444282238004</v>
      </c>
    </row>
    <row r="58" spans="1:10" x14ac:dyDescent="0.3">
      <c r="A58" s="36">
        <f>IF(Values_Entered,A57+1,"")</f>
        <v>41</v>
      </c>
      <c r="B58" s="35">
        <f>IF(Pay_Num&lt;&gt;"",DATE(YEAR(Loan_Start),MONTH(Loan_Start)+(Pay_Num)*12/Num_Pmt_Per_Year,DAY(Loan_Start)),"")</f>
        <v>46631</v>
      </c>
      <c r="C58" s="70">
        <f>IF(Pay_Num&lt;&gt;"",I57,"")</f>
        <v>0</v>
      </c>
      <c r="D58" s="70">
        <f>IF(Pay_Num&lt;&gt;"",Scheduled_Monthly_Payment,"")</f>
        <v>2418.3976845093252</v>
      </c>
      <c r="E58" s="71">
        <f>IF(AND(Pay_Num&lt;&gt;"",Sched_Pay+Scheduled_Extra_Payments&lt;Beg_Bal),Scheduled_Extra_Payments,IF(AND(Pay_Num&lt;&gt;"",Beg_Bal-Sched_Pay&gt;0),Beg_Bal-Sched_Pay,IF(Pay_Num&lt;&gt;"",0,"")))</f>
        <v>0</v>
      </c>
      <c r="F58" s="70">
        <f>IF(AND(Pay_Num&lt;&gt;"",Sched_Pay+Extra_Pay&lt;Beg_Bal),Sched_Pay+Extra_Pay,IF(Pay_Num&lt;&gt;"",Beg_Bal,""))</f>
        <v>0</v>
      </c>
      <c r="G58" s="70">
        <f>IF(Pay_Num&lt;&gt;"",Total_Pay-Int,"")</f>
        <v>0</v>
      </c>
      <c r="H58" s="70">
        <f>IF(Pay_Num&lt;&gt;"",Beg_Bal*Interest_Rate/Num_Pmt_Per_Year,"")</f>
        <v>0</v>
      </c>
      <c r="I58" s="70">
        <f>IF(AND(Pay_Num&lt;&gt;"",Sched_Pay+Extra_Pay&lt;Beg_Bal),Beg_Bal-Princ,IF(Pay_Num&lt;&gt;"",0,""))</f>
        <v>0</v>
      </c>
      <c r="J58" s="70">
        <f>SUM($H$18:$H58)</f>
        <v>8041.5444282238004</v>
      </c>
    </row>
    <row r="59" spans="1:10" x14ac:dyDescent="0.3">
      <c r="A59" s="36">
        <f>IF(Values_Entered,A58+1,"")</f>
        <v>42</v>
      </c>
      <c r="B59" s="35">
        <f>IF(Pay_Num&lt;&gt;"",DATE(YEAR(Loan_Start),MONTH(Loan_Start)+(Pay_Num)*12/Num_Pmt_Per_Year,DAY(Loan_Start)),"")</f>
        <v>46661</v>
      </c>
      <c r="C59" s="70">
        <f>IF(Pay_Num&lt;&gt;"",I58,"")</f>
        <v>0</v>
      </c>
      <c r="D59" s="70">
        <f>IF(Pay_Num&lt;&gt;"",Scheduled_Monthly_Payment,"")</f>
        <v>2418.3976845093252</v>
      </c>
      <c r="E59" s="71">
        <f>IF(AND(Pay_Num&lt;&gt;"",Sched_Pay+Scheduled_Extra_Payments&lt;Beg_Bal),Scheduled_Extra_Payments,IF(AND(Pay_Num&lt;&gt;"",Beg_Bal-Sched_Pay&gt;0),Beg_Bal-Sched_Pay,IF(Pay_Num&lt;&gt;"",0,"")))</f>
        <v>0</v>
      </c>
      <c r="F59" s="70">
        <f>IF(AND(Pay_Num&lt;&gt;"",Sched_Pay+Extra_Pay&lt;Beg_Bal),Sched_Pay+Extra_Pay,IF(Pay_Num&lt;&gt;"",Beg_Bal,""))</f>
        <v>0</v>
      </c>
      <c r="G59" s="70">
        <f>IF(Pay_Num&lt;&gt;"",Total_Pay-Int,"")</f>
        <v>0</v>
      </c>
      <c r="H59" s="70">
        <f>IF(Pay_Num&lt;&gt;"",Beg_Bal*Interest_Rate/Num_Pmt_Per_Year,"")</f>
        <v>0</v>
      </c>
      <c r="I59" s="70">
        <f>IF(AND(Pay_Num&lt;&gt;"",Sched_Pay+Extra_Pay&lt;Beg_Bal),Beg_Bal-Princ,IF(Pay_Num&lt;&gt;"",0,""))</f>
        <v>0</v>
      </c>
      <c r="J59" s="70">
        <f>SUM($H$18:$H59)</f>
        <v>8041.5444282238004</v>
      </c>
    </row>
    <row r="60" spans="1:10" x14ac:dyDescent="0.3">
      <c r="A60" s="36">
        <f>IF(Values_Entered,A59+1,"")</f>
        <v>43</v>
      </c>
      <c r="B60" s="35">
        <f>IF(Pay_Num&lt;&gt;"",DATE(YEAR(Loan_Start),MONTH(Loan_Start)+(Pay_Num)*12/Num_Pmt_Per_Year,DAY(Loan_Start)),"")</f>
        <v>46692</v>
      </c>
      <c r="C60" s="70">
        <f>IF(Pay_Num&lt;&gt;"",I59,"")</f>
        <v>0</v>
      </c>
      <c r="D60" s="70">
        <f>IF(Pay_Num&lt;&gt;"",Scheduled_Monthly_Payment,"")</f>
        <v>2418.3976845093252</v>
      </c>
      <c r="E60" s="71">
        <f>IF(AND(Pay_Num&lt;&gt;"",Sched_Pay+Scheduled_Extra_Payments&lt;Beg_Bal),Scheduled_Extra_Payments,IF(AND(Pay_Num&lt;&gt;"",Beg_Bal-Sched_Pay&gt;0),Beg_Bal-Sched_Pay,IF(Pay_Num&lt;&gt;"",0,"")))</f>
        <v>0</v>
      </c>
      <c r="F60" s="70">
        <f>IF(AND(Pay_Num&lt;&gt;"",Sched_Pay+Extra_Pay&lt;Beg_Bal),Sched_Pay+Extra_Pay,IF(Pay_Num&lt;&gt;"",Beg_Bal,""))</f>
        <v>0</v>
      </c>
      <c r="G60" s="70">
        <f>IF(Pay_Num&lt;&gt;"",Total_Pay-Int,"")</f>
        <v>0</v>
      </c>
      <c r="H60" s="70">
        <f>IF(Pay_Num&lt;&gt;"",Beg_Bal*Interest_Rate/Num_Pmt_Per_Year,"")</f>
        <v>0</v>
      </c>
      <c r="I60" s="70">
        <f>IF(AND(Pay_Num&lt;&gt;"",Sched_Pay+Extra_Pay&lt;Beg_Bal),Beg_Bal-Princ,IF(Pay_Num&lt;&gt;"",0,""))</f>
        <v>0</v>
      </c>
      <c r="J60" s="70">
        <f>SUM($H$18:$H60)</f>
        <v>8041.5444282238004</v>
      </c>
    </row>
    <row r="61" spans="1:10" x14ac:dyDescent="0.3">
      <c r="A61" s="36">
        <f>IF(Values_Entered,A60+1,"")</f>
        <v>44</v>
      </c>
      <c r="B61" s="35">
        <f>IF(Pay_Num&lt;&gt;"",DATE(YEAR(Loan_Start),MONTH(Loan_Start)+(Pay_Num)*12/Num_Pmt_Per_Year,DAY(Loan_Start)),"")</f>
        <v>46722</v>
      </c>
      <c r="C61" s="70">
        <f>IF(Pay_Num&lt;&gt;"",I60,"")</f>
        <v>0</v>
      </c>
      <c r="D61" s="70">
        <f>IF(Pay_Num&lt;&gt;"",Scheduled_Monthly_Payment,"")</f>
        <v>2418.3976845093252</v>
      </c>
      <c r="E61" s="71">
        <f>IF(AND(Pay_Num&lt;&gt;"",Sched_Pay+Scheduled_Extra_Payments&lt;Beg_Bal),Scheduled_Extra_Payments,IF(AND(Pay_Num&lt;&gt;"",Beg_Bal-Sched_Pay&gt;0),Beg_Bal-Sched_Pay,IF(Pay_Num&lt;&gt;"",0,"")))</f>
        <v>0</v>
      </c>
      <c r="F61" s="70">
        <f>IF(AND(Pay_Num&lt;&gt;"",Sched_Pay+Extra_Pay&lt;Beg_Bal),Sched_Pay+Extra_Pay,IF(Pay_Num&lt;&gt;"",Beg_Bal,""))</f>
        <v>0</v>
      </c>
      <c r="G61" s="70">
        <f>IF(Pay_Num&lt;&gt;"",Total_Pay-Int,"")</f>
        <v>0</v>
      </c>
      <c r="H61" s="70">
        <f>IF(Pay_Num&lt;&gt;"",Beg_Bal*Interest_Rate/Num_Pmt_Per_Year,"")</f>
        <v>0</v>
      </c>
      <c r="I61" s="70">
        <f>IF(AND(Pay_Num&lt;&gt;"",Sched_Pay+Extra_Pay&lt;Beg_Bal),Beg_Bal-Princ,IF(Pay_Num&lt;&gt;"",0,""))</f>
        <v>0</v>
      </c>
      <c r="J61" s="70">
        <f>SUM($H$18:$H61)</f>
        <v>8041.5444282238004</v>
      </c>
    </row>
    <row r="62" spans="1:10" x14ac:dyDescent="0.3">
      <c r="A62" s="36">
        <f>IF(Values_Entered,A61+1,"")</f>
        <v>45</v>
      </c>
      <c r="B62" s="35">
        <f>IF(Pay_Num&lt;&gt;"",DATE(YEAR(Loan_Start),MONTH(Loan_Start)+(Pay_Num)*12/Num_Pmt_Per_Year,DAY(Loan_Start)),"")</f>
        <v>46753</v>
      </c>
      <c r="C62" s="70">
        <f>IF(Pay_Num&lt;&gt;"",I61,"")</f>
        <v>0</v>
      </c>
      <c r="D62" s="70">
        <f>IF(Pay_Num&lt;&gt;"",Scheduled_Monthly_Payment,"")</f>
        <v>2418.3976845093252</v>
      </c>
      <c r="E62" s="71">
        <f>IF(AND(Pay_Num&lt;&gt;"",Sched_Pay+Scheduled_Extra_Payments&lt;Beg_Bal),Scheduled_Extra_Payments,IF(AND(Pay_Num&lt;&gt;"",Beg_Bal-Sched_Pay&gt;0),Beg_Bal-Sched_Pay,IF(Pay_Num&lt;&gt;"",0,"")))</f>
        <v>0</v>
      </c>
      <c r="F62" s="70">
        <f>IF(AND(Pay_Num&lt;&gt;"",Sched_Pay+Extra_Pay&lt;Beg_Bal),Sched_Pay+Extra_Pay,IF(Pay_Num&lt;&gt;"",Beg_Bal,""))</f>
        <v>0</v>
      </c>
      <c r="G62" s="70">
        <f>IF(Pay_Num&lt;&gt;"",Total_Pay-Int,"")</f>
        <v>0</v>
      </c>
      <c r="H62" s="70">
        <f>IF(Pay_Num&lt;&gt;"",Beg_Bal*Interest_Rate/Num_Pmt_Per_Year,"")</f>
        <v>0</v>
      </c>
      <c r="I62" s="70">
        <f>IF(AND(Pay_Num&lt;&gt;"",Sched_Pay+Extra_Pay&lt;Beg_Bal),Beg_Bal-Princ,IF(Pay_Num&lt;&gt;"",0,""))</f>
        <v>0</v>
      </c>
      <c r="J62" s="70">
        <f>SUM($H$18:$H62)</f>
        <v>8041.5444282238004</v>
      </c>
    </row>
    <row r="63" spans="1:10" x14ac:dyDescent="0.3">
      <c r="A63" s="36">
        <f>IF(Values_Entered,A62+1,"")</f>
        <v>46</v>
      </c>
      <c r="B63" s="35">
        <f>IF(Pay_Num&lt;&gt;"",DATE(YEAR(Loan_Start),MONTH(Loan_Start)+(Pay_Num)*12/Num_Pmt_Per_Year,DAY(Loan_Start)),"")</f>
        <v>46784</v>
      </c>
      <c r="C63" s="70">
        <f>IF(Pay_Num&lt;&gt;"",I62,"")</f>
        <v>0</v>
      </c>
      <c r="D63" s="70">
        <f>IF(Pay_Num&lt;&gt;"",Scheduled_Monthly_Payment,"")</f>
        <v>2418.3976845093252</v>
      </c>
      <c r="E63" s="71">
        <f>IF(AND(Pay_Num&lt;&gt;"",Sched_Pay+Scheduled_Extra_Payments&lt;Beg_Bal),Scheduled_Extra_Payments,IF(AND(Pay_Num&lt;&gt;"",Beg_Bal-Sched_Pay&gt;0),Beg_Bal-Sched_Pay,IF(Pay_Num&lt;&gt;"",0,"")))</f>
        <v>0</v>
      </c>
      <c r="F63" s="70">
        <f>IF(AND(Pay_Num&lt;&gt;"",Sched_Pay+Extra_Pay&lt;Beg_Bal),Sched_Pay+Extra_Pay,IF(Pay_Num&lt;&gt;"",Beg_Bal,""))</f>
        <v>0</v>
      </c>
      <c r="G63" s="70">
        <f>IF(Pay_Num&lt;&gt;"",Total_Pay-Int,"")</f>
        <v>0</v>
      </c>
      <c r="H63" s="70">
        <f>IF(Pay_Num&lt;&gt;"",Beg_Bal*Interest_Rate/Num_Pmt_Per_Year,"")</f>
        <v>0</v>
      </c>
      <c r="I63" s="70">
        <f>IF(AND(Pay_Num&lt;&gt;"",Sched_Pay+Extra_Pay&lt;Beg_Bal),Beg_Bal-Princ,IF(Pay_Num&lt;&gt;"",0,""))</f>
        <v>0</v>
      </c>
      <c r="J63" s="70">
        <f>SUM($H$18:$H63)</f>
        <v>8041.5444282238004</v>
      </c>
    </row>
    <row r="64" spans="1:10" x14ac:dyDescent="0.3">
      <c r="A64" s="36">
        <f>IF(Values_Entered,A63+1,"")</f>
        <v>47</v>
      </c>
      <c r="B64" s="35">
        <f>IF(Pay_Num&lt;&gt;"",DATE(YEAR(Loan_Start),MONTH(Loan_Start)+(Pay_Num)*12/Num_Pmt_Per_Year,DAY(Loan_Start)),"")</f>
        <v>46813</v>
      </c>
      <c r="C64" s="70">
        <f>IF(Pay_Num&lt;&gt;"",I63,"")</f>
        <v>0</v>
      </c>
      <c r="D64" s="70">
        <f>IF(Pay_Num&lt;&gt;"",Scheduled_Monthly_Payment,"")</f>
        <v>2418.3976845093252</v>
      </c>
      <c r="E64" s="71">
        <f>IF(AND(Pay_Num&lt;&gt;"",Sched_Pay+Scheduled_Extra_Payments&lt;Beg_Bal),Scheduled_Extra_Payments,IF(AND(Pay_Num&lt;&gt;"",Beg_Bal-Sched_Pay&gt;0),Beg_Bal-Sched_Pay,IF(Pay_Num&lt;&gt;"",0,"")))</f>
        <v>0</v>
      </c>
      <c r="F64" s="70">
        <f>IF(AND(Pay_Num&lt;&gt;"",Sched_Pay+Extra_Pay&lt;Beg_Bal),Sched_Pay+Extra_Pay,IF(Pay_Num&lt;&gt;"",Beg_Bal,""))</f>
        <v>0</v>
      </c>
      <c r="G64" s="70">
        <f>IF(Pay_Num&lt;&gt;"",Total_Pay-Int,"")</f>
        <v>0</v>
      </c>
      <c r="H64" s="70">
        <f>IF(Pay_Num&lt;&gt;"",Beg_Bal*Interest_Rate/Num_Pmt_Per_Year,"")</f>
        <v>0</v>
      </c>
      <c r="I64" s="70">
        <f>IF(AND(Pay_Num&lt;&gt;"",Sched_Pay+Extra_Pay&lt;Beg_Bal),Beg_Bal-Princ,IF(Pay_Num&lt;&gt;"",0,""))</f>
        <v>0</v>
      </c>
      <c r="J64" s="70">
        <f>SUM($H$18:$H64)</f>
        <v>8041.5444282238004</v>
      </c>
    </row>
    <row r="65" spans="1:10" x14ac:dyDescent="0.3">
      <c r="A65" s="36">
        <f>IF(Values_Entered,A64+1,"")</f>
        <v>48</v>
      </c>
      <c r="B65" s="35">
        <f>IF(Pay_Num&lt;&gt;"",DATE(YEAR(Loan_Start),MONTH(Loan_Start)+(Pay_Num)*12/Num_Pmt_Per_Year,DAY(Loan_Start)),"")</f>
        <v>46844</v>
      </c>
      <c r="C65" s="70">
        <f>IF(Pay_Num&lt;&gt;"",I64,"")</f>
        <v>0</v>
      </c>
      <c r="D65" s="70">
        <f>IF(Pay_Num&lt;&gt;"",Scheduled_Monthly_Payment,"")</f>
        <v>2418.3976845093252</v>
      </c>
      <c r="E65" s="71">
        <f>IF(AND(Pay_Num&lt;&gt;"",Sched_Pay+Scheduled_Extra_Payments&lt;Beg_Bal),Scheduled_Extra_Payments,IF(AND(Pay_Num&lt;&gt;"",Beg_Bal-Sched_Pay&gt;0),Beg_Bal-Sched_Pay,IF(Pay_Num&lt;&gt;"",0,"")))</f>
        <v>0</v>
      </c>
      <c r="F65" s="70">
        <f>IF(AND(Pay_Num&lt;&gt;"",Sched_Pay+Extra_Pay&lt;Beg_Bal),Sched_Pay+Extra_Pay,IF(Pay_Num&lt;&gt;"",Beg_Bal,""))</f>
        <v>0</v>
      </c>
      <c r="G65" s="70">
        <f>IF(Pay_Num&lt;&gt;"",Total_Pay-Int,"")</f>
        <v>0</v>
      </c>
      <c r="H65" s="70">
        <f>IF(Pay_Num&lt;&gt;"",Beg_Bal*Interest_Rate/Num_Pmt_Per_Year,"")</f>
        <v>0</v>
      </c>
      <c r="I65" s="70">
        <f>IF(AND(Pay_Num&lt;&gt;"",Sched_Pay+Extra_Pay&lt;Beg_Bal),Beg_Bal-Princ,IF(Pay_Num&lt;&gt;"",0,""))</f>
        <v>0</v>
      </c>
      <c r="J65" s="70">
        <f>SUM($H$18:$H65)</f>
        <v>8041.5444282238004</v>
      </c>
    </row>
    <row r="66" spans="1:10" x14ac:dyDescent="0.3">
      <c r="A66" s="36">
        <f>IF(Values_Entered,A65+1,"")</f>
        <v>49</v>
      </c>
      <c r="B66" s="35">
        <f>IF(Pay_Num&lt;&gt;"",DATE(YEAR(Loan_Start),MONTH(Loan_Start)+(Pay_Num)*12/Num_Pmt_Per_Year,DAY(Loan_Start)),"")</f>
        <v>46874</v>
      </c>
      <c r="C66" s="70">
        <f>IF(Pay_Num&lt;&gt;"",I65,"")</f>
        <v>0</v>
      </c>
      <c r="D66" s="70">
        <f>IF(Pay_Num&lt;&gt;"",Scheduled_Monthly_Payment,"")</f>
        <v>2418.3976845093252</v>
      </c>
      <c r="E66" s="71">
        <f>IF(AND(Pay_Num&lt;&gt;"",Sched_Pay+Scheduled_Extra_Payments&lt;Beg_Bal),Scheduled_Extra_Payments,IF(AND(Pay_Num&lt;&gt;"",Beg_Bal-Sched_Pay&gt;0),Beg_Bal-Sched_Pay,IF(Pay_Num&lt;&gt;"",0,"")))</f>
        <v>0</v>
      </c>
      <c r="F66" s="70">
        <f>IF(AND(Pay_Num&lt;&gt;"",Sched_Pay+Extra_Pay&lt;Beg_Bal),Sched_Pay+Extra_Pay,IF(Pay_Num&lt;&gt;"",Beg_Bal,""))</f>
        <v>0</v>
      </c>
      <c r="G66" s="70">
        <f>IF(Pay_Num&lt;&gt;"",Total_Pay-Int,"")</f>
        <v>0</v>
      </c>
      <c r="H66" s="70">
        <f>IF(Pay_Num&lt;&gt;"",Beg_Bal*Interest_Rate/Num_Pmt_Per_Year,"")</f>
        <v>0</v>
      </c>
      <c r="I66" s="70">
        <f>IF(AND(Pay_Num&lt;&gt;"",Sched_Pay+Extra_Pay&lt;Beg_Bal),Beg_Bal-Princ,IF(Pay_Num&lt;&gt;"",0,""))</f>
        <v>0</v>
      </c>
      <c r="J66" s="70">
        <f>SUM($H$18:$H66)</f>
        <v>8041.5444282238004</v>
      </c>
    </row>
    <row r="67" spans="1:10" x14ac:dyDescent="0.3">
      <c r="A67" s="36">
        <f>IF(Values_Entered,A66+1,"")</f>
        <v>50</v>
      </c>
      <c r="B67" s="35">
        <f>IF(Pay_Num&lt;&gt;"",DATE(YEAR(Loan_Start),MONTH(Loan_Start)+(Pay_Num)*12/Num_Pmt_Per_Year,DAY(Loan_Start)),"")</f>
        <v>46905</v>
      </c>
      <c r="C67" s="70">
        <f>IF(Pay_Num&lt;&gt;"",I66,"")</f>
        <v>0</v>
      </c>
      <c r="D67" s="70">
        <f>IF(Pay_Num&lt;&gt;"",Scheduled_Monthly_Payment,"")</f>
        <v>2418.3976845093252</v>
      </c>
      <c r="E67" s="71">
        <f>IF(AND(Pay_Num&lt;&gt;"",Sched_Pay+Scheduled_Extra_Payments&lt;Beg_Bal),Scheduled_Extra_Payments,IF(AND(Pay_Num&lt;&gt;"",Beg_Bal-Sched_Pay&gt;0),Beg_Bal-Sched_Pay,IF(Pay_Num&lt;&gt;"",0,"")))</f>
        <v>0</v>
      </c>
      <c r="F67" s="70">
        <f>IF(AND(Pay_Num&lt;&gt;"",Sched_Pay+Extra_Pay&lt;Beg_Bal),Sched_Pay+Extra_Pay,IF(Pay_Num&lt;&gt;"",Beg_Bal,""))</f>
        <v>0</v>
      </c>
      <c r="G67" s="70">
        <f>IF(Pay_Num&lt;&gt;"",Total_Pay-Int,"")</f>
        <v>0</v>
      </c>
      <c r="H67" s="70">
        <f>IF(Pay_Num&lt;&gt;"",Beg_Bal*Interest_Rate/Num_Pmt_Per_Year,"")</f>
        <v>0</v>
      </c>
      <c r="I67" s="70">
        <f>IF(AND(Pay_Num&lt;&gt;"",Sched_Pay+Extra_Pay&lt;Beg_Bal),Beg_Bal-Princ,IF(Pay_Num&lt;&gt;"",0,""))</f>
        <v>0</v>
      </c>
      <c r="J67" s="70">
        <f>SUM($H$18:$H67)</f>
        <v>8041.5444282238004</v>
      </c>
    </row>
    <row r="68" spans="1:10" x14ac:dyDescent="0.3">
      <c r="A68" s="36">
        <f>IF(Values_Entered,A67+1,"")</f>
        <v>51</v>
      </c>
      <c r="B68" s="35">
        <f>IF(Pay_Num&lt;&gt;"",DATE(YEAR(Loan_Start),MONTH(Loan_Start)+(Pay_Num)*12/Num_Pmt_Per_Year,DAY(Loan_Start)),"")</f>
        <v>46935</v>
      </c>
      <c r="C68" s="70">
        <f>IF(Pay_Num&lt;&gt;"",I67,"")</f>
        <v>0</v>
      </c>
      <c r="D68" s="70">
        <f>IF(Pay_Num&lt;&gt;"",Scheduled_Monthly_Payment,"")</f>
        <v>2418.3976845093252</v>
      </c>
      <c r="E68" s="71">
        <f>IF(AND(Pay_Num&lt;&gt;"",Sched_Pay+Scheduled_Extra_Payments&lt;Beg_Bal),Scheduled_Extra_Payments,IF(AND(Pay_Num&lt;&gt;"",Beg_Bal-Sched_Pay&gt;0),Beg_Bal-Sched_Pay,IF(Pay_Num&lt;&gt;"",0,"")))</f>
        <v>0</v>
      </c>
      <c r="F68" s="70">
        <f>IF(AND(Pay_Num&lt;&gt;"",Sched_Pay+Extra_Pay&lt;Beg_Bal),Sched_Pay+Extra_Pay,IF(Pay_Num&lt;&gt;"",Beg_Bal,""))</f>
        <v>0</v>
      </c>
      <c r="G68" s="70">
        <f>IF(Pay_Num&lt;&gt;"",Total_Pay-Int,"")</f>
        <v>0</v>
      </c>
      <c r="H68" s="70">
        <f>IF(Pay_Num&lt;&gt;"",Beg_Bal*Interest_Rate/Num_Pmt_Per_Year,"")</f>
        <v>0</v>
      </c>
      <c r="I68" s="70">
        <f>IF(AND(Pay_Num&lt;&gt;"",Sched_Pay+Extra_Pay&lt;Beg_Bal),Beg_Bal-Princ,IF(Pay_Num&lt;&gt;"",0,""))</f>
        <v>0</v>
      </c>
      <c r="J68" s="70">
        <f>SUM($H$18:$H68)</f>
        <v>8041.5444282238004</v>
      </c>
    </row>
    <row r="69" spans="1:10" x14ac:dyDescent="0.3">
      <c r="A69" s="36">
        <f>IF(Values_Entered,A68+1,"")</f>
        <v>52</v>
      </c>
      <c r="B69" s="35">
        <f>IF(Pay_Num&lt;&gt;"",DATE(YEAR(Loan_Start),MONTH(Loan_Start)+(Pay_Num)*12/Num_Pmt_Per_Year,DAY(Loan_Start)),"")</f>
        <v>46966</v>
      </c>
      <c r="C69" s="70">
        <f>IF(Pay_Num&lt;&gt;"",I68,"")</f>
        <v>0</v>
      </c>
      <c r="D69" s="70">
        <f>IF(Pay_Num&lt;&gt;"",Scheduled_Monthly_Payment,"")</f>
        <v>2418.3976845093252</v>
      </c>
      <c r="E69" s="71">
        <f>IF(AND(Pay_Num&lt;&gt;"",Sched_Pay+Scheduled_Extra_Payments&lt;Beg_Bal),Scheduled_Extra_Payments,IF(AND(Pay_Num&lt;&gt;"",Beg_Bal-Sched_Pay&gt;0),Beg_Bal-Sched_Pay,IF(Pay_Num&lt;&gt;"",0,"")))</f>
        <v>0</v>
      </c>
      <c r="F69" s="70">
        <f>IF(AND(Pay_Num&lt;&gt;"",Sched_Pay+Extra_Pay&lt;Beg_Bal),Sched_Pay+Extra_Pay,IF(Pay_Num&lt;&gt;"",Beg_Bal,""))</f>
        <v>0</v>
      </c>
      <c r="G69" s="70">
        <f>IF(Pay_Num&lt;&gt;"",Total_Pay-Int,"")</f>
        <v>0</v>
      </c>
      <c r="H69" s="70">
        <f>IF(Pay_Num&lt;&gt;"",Beg_Bal*Interest_Rate/Num_Pmt_Per_Year,"")</f>
        <v>0</v>
      </c>
      <c r="I69" s="70">
        <f>IF(AND(Pay_Num&lt;&gt;"",Sched_Pay+Extra_Pay&lt;Beg_Bal),Beg_Bal-Princ,IF(Pay_Num&lt;&gt;"",0,""))</f>
        <v>0</v>
      </c>
      <c r="J69" s="70">
        <f>SUM($H$18:$H69)</f>
        <v>8041.5444282238004</v>
      </c>
    </row>
    <row r="70" spans="1:10" x14ac:dyDescent="0.3">
      <c r="A70" s="36">
        <f>IF(Values_Entered,A69+1,"")</f>
        <v>53</v>
      </c>
      <c r="B70" s="35">
        <f>IF(Pay_Num&lt;&gt;"",DATE(YEAR(Loan_Start),MONTH(Loan_Start)+(Pay_Num)*12/Num_Pmt_Per_Year,DAY(Loan_Start)),"")</f>
        <v>46997</v>
      </c>
      <c r="C70" s="70">
        <f>IF(Pay_Num&lt;&gt;"",I69,"")</f>
        <v>0</v>
      </c>
      <c r="D70" s="70">
        <f>IF(Pay_Num&lt;&gt;"",Scheduled_Monthly_Payment,"")</f>
        <v>2418.3976845093252</v>
      </c>
      <c r="E70" s="71">
        <f>IF(AND(Pay_Num&lt;&gt;"",Sched_Pay+Scheduled_Extra_Payments&lt;Beg_Bal),Scheduled_Extra_Payments,IF(AND(Pay_Num&lt;&gt;"",Beg_Bal-Sched_Pay&gt;0),Beg_Bal-Sched_Pay,IF(Pay_Num&lt;&gt;"",0,"")))</f>
        <v>0</v>
      </c>
      <c r="F70" s="70">
        <f>IF(AND(Pay_Num&lt;&gt;"",Sched_Pay+Extra_Pay&lt;Beg_Bal),Sched_Pay+Extra_Pay,IF(Pay_Num&lt;&gt;"",Beg_Bal,""))</f>
        <v>0</v>
      </c>
      <c r="G70" s="70">
        <f>IF(Pay_Num&lt;&gt;"",Total_Pay-Int,"")</f>
        <v>0</v>
      </c>
      <c r="H70" s="70">
        <f>IF(Pay_Num&lt;&gt;"",Beg_Bal*Interest_Rate/Num_Pmt_Per_Year,"")</f>
        <v>0</v>
      </c>
      <c r="I70" s="70">
        <f>IF(AND(Pay_Num&lt;&gt;"",Sched_Pay+Extra_Pay&lt;Beg_Bal),Beg_Bal-Princ,IF(Pay_Num&lt;&gt;"",0,""))</f>
        <v>0</v>
      </c>
      <c r="J70" s="70">
        <f>SUM($H$18:$H70)</f>
        <v>8041.5444282238004</v>
      </c>
    </row>
    <row r="71" spans="1:10" x14ac:dyDescent="0.3">
      <c r="A71" s="36">
        <f>IF(Values_Entered,A70+1,"")</f>
        <v>54</v>
      </c>
      <c r="B71" s="35">
        <f>IF(Pay_Num&lt;&gt;"",DATE(YEAR(Loan_Start),MONTH(Loan_Start)+(Pay_Num)*12/Num_Pmt_Per_Year,DAY(Loan_Start)),"")</f>
        <v>47027</v>
      </c>
      <c r="C71" s="70">
        <f>IF(Pay_Num&lt;&gt;"",I70,"")</f>
        <v>0</v>
      </c>
      <c r="D71" s="70">
        <f>IF(Pay_Num&lt;&gt;"",Scheduled_Monthly_Payment,"")</f>
        <v>2418.3976845093252</v>
      </c>
      <c r="E71" s="71">
        <f>IF(AND(Pay_Num&lt;&gt;"",Sched_Pay+Scheduled_Extra_Payments&lt;Beg_Bal),Scheduled_Extra_Payments,IF(AND(Pay_Num&lt;&gt;"",Beg_Bal-Sched_Pay&gt;0),Beg_Bal-Sched_Pay,IF(Pay_Num&lt;&gt;"",0,"")))</f>
        <v>0</v>
      </c>
      <c r="F71" s="70">
        <f>IF(AND(Pay_Num&lt;&gt;"",Sched_Pay+Extra_Pay&lt;Beg_Bal),Sched_Pay+Extra_Pay,IF(Pay_Num&lt;&gt;"",Beg_Bal,""))</f>
        <v>0</v>
      </c>
      <c r="G71" s="70">
        <f>IF(Pay_Num&lt;&gt;"",Total_Pay-Int,"")</f>
        <v>0</v>
      </c>
      <c r="H71" s="70">
        <f>IF(Pay_Num&lt;&gt;"",Beg_Bal*Interest_Rate/Num_Pmt_Per_Year,"")</f>
        <v>0</v>
      </c>
      <c r="I71" s="70">
        <f>IF(AND(Pay_Num&lt;&gt;"",Sched_Pay+Extra_Pay&lt;Beg_Bal),Beg_Bal-Princ,IF(Pay_Num&lt;&gt;"",0,""))</f>
        <v>0</v>
      </c>
      <c r="J71" s="70">
        <f>SUM($H$18:$H71)</f>
        <v>8041.5444282238004</v>
      </c>
    </row>
    <row r="72" spans="1:10" x14ac:dyDescent="0.3">
      <c r="A72" s="36">
        <f>IF(Values_Entered,A71+1,"")</f>
        <v>55</v>
      </c>
      <c r="B72" s="35">
        <f>IF(Pay_Num&lt;&gt;"",DATE(YEAR(Loan_Start),MONTH(Loan_Start)+(Pay_Num)*12/Num_Pmt_Per_Year,DAY(Loan_Start)),"")</f>
        <v>47058</v>
      </c>
      <c r="C72" s="70">
        <f>IF(Pay_Num&lt;&gt;"",I71,"")</f>
        <v>0</v>
      </c>
      <c r="D72" s="70">
        <f>IF(Pay_Num&lt;&gt;"",Scheduled_Monthly_Payment,"")</f>
        <v>2418.3976845093252</v>
      </c>
      <c r="E72" s="71">
        <f>IF(AND(Pay_Num&lt;&gt;"",Sched_Pay+Scheduled_Extra_Payments&lt;Beg_Bal),Scheduled_Extra_Payments,IF(AND(Pay_Num&lt;&gt;"",Beg_Bal-Sched_Pay&gt;0),Beg_Bal-Sched_Pay,IF(Pay_Num&lt;&gt;"",0,"")))</f>
        <v>0</v>
      </c>
      <c r="F72" s="70">
        <f>IF(AND(Pay_Num&lt;&gt;"",Sched_Pay+Extra_Pay&lt;Beg_Bal),Sched_Pay+Extra_Pay,IF(Pay_Num&lt;&gt;"",Beg_Bal,""))</f>
        <v>0</v>
      </c>
      <c r="G72" s="70">
        <f>IF(Pay_Num&lt;&gt;"",Total_Pay-Int,"")</f>
        <v>0</v>
      </c>
      <c r="H72" s="70">
        <f>IF(Pay_Num&lt;&gt;"",Beg_Bal*Interest_Rate/Num_Pmt_Per_Year,"")</f>
        <v>0</v>
      </c>
      <c r="I72" s="70">
        <f>IF(AND(Pay_Num&lt;&gt;"",Sched_Pay+Extra_Pay&lt;Beg_Bal),Beg_Bal-Princ,IF(Pay_Num&lt;&gt;"",0,""))</f>
        <v>0</v>
      </c>
      <c r="J72" s="70">
        <f>SUM($H$18:$H72)</f>
        <v>8041.5444282238004</v>
      </c>
    </row>
    <row r="73" spans="1:10" x14ac:dyDescent="0.3">
      <c r="A73" s="36">
        <f>IF(Values_Entered,A72+1,"")</f>
        <v>56</v>
      </c>
      <c r="B73" s="35">
        <f>IF(Pay_Num&lt;&gt;"",DATE(YEAR(Loan_Start),MONTH(Loan_Start)+(Pay_Num)*12/Num_Pmt_Per_Year,DAY(Loan_Start)),"")</f>
        <v>47088</v>
      </c>
      <c r="C73" s="70">
        <f>IF(Pay_Num&lt;&gt;"",I72,"")</f>
        <v>0</v>
      </c>
      <c r="D73" s="70">
        <f>IF(Pay_Num&lt;&gt;"",Scheduled_Monthly_Payment,"")</f>
        <v>2418.3976845093252</v>
      </c>
      <c r="E73" s="71">
        <f>IF(AND(Pay_Num&lt;&gt;"",Sched_Pay+Scheduled_Extra_Payments&lt;Beg_Bal),Scheduled_Extra_Payments,IF(AND(Pay_Num&lt;&gt;"",Beg_Bal-Sched_Pay&gt;0),Beg_Bal-Sched_Pay,IF(Pay_Num&lt;&gt;"",0,"")))</f>
        <v>0</v>
      </c>
      <c r="F73" s="70">
        <f>IF(AND(Pay_Num&lt;&gt;"",Sched_Pay+Extra_Pay&lt;Beg_Bal),Sched_Pay+Extra_Pay,IF(Pay_Num&lt;&gt;"",Beg_Bal,""))</f>
        <v>0</v>
      </c>
      <c r="G73" s="70">
        <f>IF(Pay_Num&lt;&gt;"",Total_Pay-Int,"")</f>
        <v>0</v>
      </c>
      <c r="H73" s="70">
        <f>IF(Pay_Num&lt;&gt;"",Beg_Bal*Interest_Rate/Num_Pmt_Per_Year,"")</f>
        <v>0</v>
      </c>
      <c r="I73" s="70">
        <f>IF(AND(Pay_Num&lt;&gt;"",Sched_Pay+Extra_Pay&lt;Beg_Bal),Beg_Bal-Princ,IF(Pay_Num&lt;&gt;"",0,""))</f>
        <v>0</v>
      </c>
      <c r="J73" s="70">
        <f>SUM($H$18:$H73)</f>
        <v>8041.5444282238004</v>
      </c>
    </row>
    <row r="74" spans="1:10" x14ac:dyDescent="0.3">
      <c r="A74" s="36">
        <f>IF(Values_Entered,A73+1,"")</f>
        <v>57</v>
      </c>
      <c r="B74" s="35">
        <f>IF(Pay_Num&lt;&gt;"",DATE(YEAR(Loan_Start),MONTH(Loan_Start)+(Pay_Num)*12/Num_Pmt_Per_Year,DAY(Loan_Start)),"")</f>
        <v>47119</v>
      </c>
      <c r="C74" s="70">
        <f>IF(Pay_Num&lt;&gt;"",I73,"")</f>
        <v>0</v>
      </c>
      <c r="D74" s="70">
        <f>IF(Pay_Num&lt;&gt;"",Scheduled_Monthly_Payment,"")</f>
        <v>2418.3976845093252</v>
      </c>
      <c r="E74" s="71">
        <f>IF(AND(Pay_Num&lt;&gt;"",Sched_Pay+Scheduled_Extra_Payments&lt;Beg_Bal),Scheduled_Extra_Payments,IF(AND(Pay_Num&lt;&gt;"",Beg_Bal-Sched_Pay&gt;0),Beg_Bal-Sched_Pay,IF(Pay_Num&lt;&gt;"",0,"")))</f>
        <v>0</v>
      </c>
      <c r="F74" s="70">
        <f>IF(AND(Pay_Num&lt;&gt;"",Sched_Pay+Extra_Pay&lt;Beg_Bal),Sched_Pay+Extra_Pay,IF(Pay_Num&lt;&gt;"",Beg_Bal,""))</f>
        <v>0</v>
      </c>
      <c r="G74" s="70">
        <f>IF(Pay_Num&lt;&gt;"",Total_Pay-Int,"")</f>
        <v>0</v>
      </c>
      <c r="H74" s="70">
        <f>IF(Pay_Num&lt;&gt;"",Beg_Bal*Interest_Rate/Num_Pmt_Per_Year,"")</f>
        <v>0</v>
      </c>
      <c r="I74" s="70">
        <f>IF(AND(Pay_Num&lt;&gt;"",Sched_Pay+Extra_Pay&lt;Beg_Bal),Beg_Bal-Princ,IF(Pay_Num&lt;&gt;"",0,""))</f>
        <v>0</v>
      </c>
      <c r="J74" s="70">
        <f>SUM($H$18:$H74)</f>
        <v>8041.5444282238004</v>
      </c>
    </row>
    <row r="75" spans="1:10" x14ac:dyDescent="0.3">
      <c r="A75" s="36">
        <f>IF(Values_Entered,A74+1,"")</f>
        <v>58</v>
      </c>
      <c r="B75" s="35">
        <f>IF(Pay_Num&lt;&gt;"",DATE(YEAR(Loan_Start),MONTH(Loan_Start)+(Pay_Num)*12/Num_Pmt_Per_Year,DAY(Loan_Start)),"")</f>
        <v>47150</v>
      </c>
      <c r="C75" s="70">
        <f>IF(Pay_Num&lt;&gt;"",I74,"")</f>
        <v>0</v>
      </c>
      <c r="D75" s="70">
        <f>IF(Pay_Num&lt;&gt;"",Scheduled_Monthly_Payment,"")</f>
        <v>2418.3976845093252</v>
      </c>
      <c r="E75" s="71">
        <f>IF(AND(Pay_Num&lt;&gt;"",Sched_Pay+Scheduled_Extra_Payments&lt;Beg_Bal),Scheduled_Extra_Payments,IF(AND(Pay_Num&lt;&gt;"",Beg_Bal-Sched_Pay&gt;0),Beg_Bal-Sched_Pay,IF(Pay_Num&lt;&gt;"",0,"")))</f>
        <v>0</v>
      </c>
      <c r="F75" s="70">
        <f>IF(AND(Pay_Num&lt;&gt;"",Sched_Pay+Extra_Pay&lt;Beg_Bal),Sched_Pay+Extra_Pay,IF(Pay_Num&lt;&gt;"",Beg_Bal,""))</f>
        <v>0</v>
      </c>
      <c r="G75" s="70">
        <f>IF(Pay_Num&lt;&gt;"",Total_Pay-Int,"")</f>
        <v>0</v>
      </c>
      <c r="H75" s="70">
        <f>IF(Pay_Num&lt;&gt;"",Beg_Bal*Interest_Rate/Num_Pmt_Per_Year,"")</f>
        <v>0</v>
      </c>
      <c r="I75" s="70">
        <f>IF(AND(Pay_Num&lt;&gt;"",Sched_Pay+Extra_Pay&lt;Beg_Bal),Beg_Bal-Princ,IF(Pay_Num&lt;&gt;"",0,""))</f>
        <v>0</v>
      </c>
      <c r="J75" s="70">
        <f>SUM($H$18:$H75)</f>
        <v>8041.5444282238004</v>
      </c>
    </row>
    <row r="76" spans="1:10" x14ac:dyDescent="0.3">
      <c r="A76" s="36">
        <f>IF(Values_Entered,A75+1,"")</f>
        <v>59</v>
      </c>
      <c r="B76" s="35">
        <f>IF(Pay_Num&lt;&gt;"",DATE(YEAR(Loan_Start),MONTH(Loan_Start)+(Pay_Num)*12/Num_Pmt_Per_Year,DAY(Loan_Start)),"")</f>
        <v>47178</v>
      </c>
      <c r="C76" s="70">
        <f>IF(Pay_Num&lt;&gt;"",I75,"")</f>
        <v>0</v>
      </c>
      <c r="D76" s="70">
        <f>IF(Pay_Num&lt;&gt;"",Scheduled_Monthly_Payment,"")</f>
        <v>2418.3976845093252</v>
      </c>
      <c r="E76" s="71">
        <f>IF(AND(Pay_Num&lt;&gt;"",Sched_Pay+Scheduled_Extra_Payments&lt;Beg_Bal),Scheduled_Extra_Payments,IF(AND(Pay_Num&lt;&gt;"",Beg_Bal-Sched_Pay&gt;0),Beg_Bal-Sched_Pay,IF(Pay_Num&lt;&gt;"",0,"")))</f>
        <v>0</v>
      </c>
      <c r="F76" s="70">
        <f>IF(AND(Pay_Num&lt;&gt;"",Sched_Pay+Extra_Pay&lt;Beg_Bal),Sched_Pay+Extra_Pay,IF(Pay_Num&lt;&gt;"",Beg_Bal,""))</f>
        <v>0</v>
      </c>
      <c r="G76" s="70">
        <f>IF(Pay_Num&lt;&gt;"",Total_Pay-Int,"")</f>
        <v>0</v>
      </c>
      <c r="H76" s="70">
        <f>IF(Pay_Num&lt;&gt;"",Beg_Bal*Interest_Rate/Num_Pmt_Per_Year,"")</f>
        <v>0</v>
      </c>
      <c r="I76" s="70">
        <f>IF(AND(Pay_Num&lt;&gt;"",Sched_Pay+Extra_Pay&lt;Beg_Bal),Beg_Bal-Princ,IF(Pay_Num&lt;&gt;"",0,""))</f>
        <v>0</v>
      </c>
      <c r="J76" s="70">
        <f>SUM($H$18:$H76)</f>
        <v>8041.5444282238004</v>
      </c>
    </row>
    <row r="77" spans="1:10" x14ac:dyDescent="0.3">
      <c r="A77" s="36">
        <f>IF(Values_Entered,A76+1,"")</f>
        <v>60</v>
      </c>
      <c r="B77" s="35">
        <f>IF(Pay_Num&lt;&gt;"",DATE(YEAR(Loan_Start),MONTH(Loan_Start)+(Pay_Num)*12/Num_Pmt_Per_Year,DAY(Loan_Start)),"")</f>
        <v>47209</v>
      </c>
      <c r="C77" s="70">
        <f>IF(Pay_Num&lt;&gt;"",I76,"")</f>
        <v>0</v>
      </c>
      <c r="D77" s="70">
        <f>IF(Pay_Num&lt;&gt;"",Scheduled_Monthly_Payment,"")</f>
        <v>2418.3976845093252</v>
      </c>
      <c r="E77" s="71">
        <f>IF(AND(Pay_Num&lt;&gt;"",Sched_Pay+Scheduled_Extra_Payments&lt;Beg_Bal),Scheduled_Extra_Payments,IF(AND(Pay_Num&lt;&gt;"",Beg_Bal-Sched_Pay&gt;0),Beg_Bal-Sched_Pay,IF(Pay_Num&lt;&gt;"",0,"")))</f>
        <v>0</v>
      </c>
      <c r="F77" s="70">
        <f>IF(AND(Pay_Num&lt;&gt;"",Sched_Pay+Extra_Pay&lt;Beg_Bal),Sched_Pay+Extra_Pay,IF(Pay_Num&lt;&gt;"",Beg_Bal,""))</f>
        <v>0</v>
      </c>
      <c r="G77" s="70">
        <f>IF(Pay_Num&lt;&gt;"",Total_Pay-Int,"")</f>
        <v>0</v>
      </c>
      <c r="H77" s="70">
        <f>IF(Pay_Num&lt;&gt;"",Beg_Bal*Interest_Rate/Num_Pmt_Per_Year,"")</f>
        <v>0</v>
      </c>
      <c r="I77" s="70">
        <f>IF(AND(Pay_Num&lt;&gt;"",Sched_Pay+Extra_Pay&lt;Beg_Bal),Beg_Bal-Princ,IF(Pay_Num&lt;&gt;"",0,""))</f>
        <v>0</v>
      </c>
      <c r="J77" s="70">
        <f>SUM($H$18:$H77)</f>
        <v>8041.5444282238004</v>
      </c>
    </row>
    <row r="78" spans="1:10" x14ac:dyDescent="0.3">
      <c r="A78" s="36">
        <f>IF(Values_Entered,A77+1,"")</f>
        <v>61</v>
      </c>
      <c r="B78" s="35">
        <f>IF(Pay_Num&lt;&gt;"",DATE(YEAR(Loan_Start),MONTH(Loan_Start)+(Pay_Num)*12/Num_Pmt_Per_Year,DAY(Loan_Start)),"")</f>
        <v>47239</v>
      </c>
      <c r="C78" s="70">
        <f>IF(Pay_Num&lt;&gt;"",I77,"")</f>
        <v>0</v>
      </c>
      <c r="D78" s="70">
        <f>IF(Pay_Num&lt;&gt;"",Scheduled_Monthly_Payment,"")</f>
        <v>2418.3976845093252</v>
      </c>
      <c r="E78" s="71">
        <f>IF(AND(Pay_Num&lt;&gt;"",Sched_Pay+Scheduled_Extra_Payments&lt;Beg_Bal),Scheduled_Extra_Payments,IF(AND(Pay_Num&lt;&gt;"",Beg_Bal-Sched_Pay&gt;0),Beg_Bal-Sched_Pay,IF(Pay_Num&lt;&gt;"",0,"")))</f>
        <v>0</v>
      </c>
      <c r="F78" s="70">
        <f>IF(AND(Pay_Num&lt;&gt;"",Sched_Pay+Extra_Pay&lt;Beg_Bal),Sched_Pay+Extra_Pay,IF(Pay_Num&lt;&gt;"",Beg_Bal,""))</f>
        <v>0</v>
      </c>
      <c r="G78" s="70">
        <f>IF(Pay_Num&lt;&gt;"",Total_Pay-Int,"")</f>
        <v>0</v>
      </c>
      <c r="H78" s="70">
        <f>IF(Pay_Num&lt;&gt;"",Beg_Bal*Interest_Rate/Num_Pmt_Per_Year,"")</f>
        <v>0</v>
      </c>
      <c r="I78" s="70">
        <f>IF(AND(Pay_Num&lt;&gt;"",Sched_Pay+Extra_Pay&lt;Beg_Bal),Beg_Bal-Princ,IF(Pay_Num&lt;&gt;"",0,""))</f>
        <v>0</v>
      </c>
      <c r="J78" s="70">
        <f>SUM($H$18:$H78)</f>
        <v>8041.5444282238004</v>
      </c>
    </row>
    <row r="79" spans="1:10" x14ac:dyDescent="0.3">
      <c r="A79" s="36">
        <f>IF(Values_Entered,A78+1,"")</f>
        <v>62</v>
      </c>
      <c r="B79" s="35">
        <f>IF(Pay_Num&lt;&gt;"",DATE(YEAR(Loan_Start),MONTH(Loan_Start)+(Pay_Num)*12/Num_Pmt_Per_Year,DAY(Loan_Start)),"")</f>
        <v>47270</v>
      </c>
      <c r="C79" s="70">
        <f>IF(Pay_Num&lt;&gt;"",I78,"")</f>
        <v>0</v>
      </c>
      <c r="D79" s="70">
        <f>IF(Pay_Num&lt;&gt;"",Scheduled_Monthly_Payment,"")</f>
        <v>2418.3976845093252</v>
      </c>
      <c r="E79" s="71">
        <f>IF(AND(Pay_Num&lt;&gt;"",Sched_Pay+Scheduled_Extra_Payments&lt;Beg_Bal),Scheduled_Extra_Payments,IF(AND(Pay_Num&lt;&gt;"",Beg_Bal-Sched_Pay&gt;0),Beg_Bal-Sched_Pay,IF(Pay_Num&lt;&gt;"",0,"")))</f>
        <v>0</v>
      </c>
      <c r="F79" s="70">
        <f>IF(AND(Pay_Num&lt;&gt;"",Sched_Pay+Extra_Pay&lt;Beg_Bal),Sched_Pay+Extra_Pay,IF(Pay_Num&lt;&gt;"",Beg_Bal,""))</f>
        <v>0</v>
      </c>
      <c r="G79" s="70">
        <f>IF(Pay_Num&lt;&gt;"",Total_Pay-Int,"")</f>
        <v>0</v>
      </c>
      <c r="H79" s="70">
        <f>IF(Pay_Num&lt;&gt;"",Beg_Bal*Interest_Rate/Num_Pmt_Per_Year,"")</f>
        <v>0</v>
      </c>
      <c r="I79" s="70">
        <f>IF(AND(Pay_Num&lt;&gt;"",Sched_Pay+Extra_Pay&lt;Beg_Bal),Beg_Bal-Princ,IF(Pay_Num&lt;&gt;"",0,""))</f>
        <v>0</v>
      </c>
      <c r="J79" s="70">
        <f>SUM($H$18:$H79)</f>
        <v>8041.5444282238004</v>
      </c>
    </row>
    <row r="80" spans="1:10" x14ac:dyDescent="0.3">
      <c r="A80" s="36">
        <f>IF(Values_Entered,A79+1,"")</f>
        <v>63</v>
      </c>
      <c r="B80" s="35">
        <f>IF(Pay_Num&lt;&gt;"",DATE(YEAR(Loan_Start),MONTH(Loan_Start)+(Pay_Num)*12/Num_Pmt_Per_Year,DAY(Loan_Start)),"")</f>
        <v>47300</v>
      </c>
      <c r="C80" s="70">
        <f>IF(Pay_Num&lt;&gt;"",I79,"")</f>
        <v>0</v>
      </c>
      <c r="D80" s="70">
        <f>IF(Pay_Num&lt;&gt;"",Scheduled_Monthly_Payment,"")</f>
        <v>2418.3976845093252</v>
      </c>
      <c r="E80" s="71">
        <f>IF(AND(Pay_Num&lt;&gt;"",Sched_Pay+Scheduled_Extra_Payments&lt;Beg_Bal),Scheduled_Extra_Payments,IF(AND(Pay_Num&lt;&gt;"",Beg_Bal-Sched_Pay&gt;0),Beg_Bal-Sched_Pay,IF(Pay_Num&lt;&gt;"",0,"")))</f>
        <v>0</v>
      </c>
      <c r="F80" s="70">
        <f>IF(AND(Pay_Num&lt;&gt;"",Sched_Pay+Extra_Pay&lt;Beg_Bal),Sched_Pay+Extra_Pay,IF(Pay_Num&lt;&gt;"",Beg_Bal,""))</f>
        <v>0</v>
      </c>
      <c r="G80" s="70">
        <f>IF(Pay_Num&lt;&gt;"",Total_Pay-Int,"")</f>
        <v>0</v>
      </c>
      <c r="H80" s="70">
        <f>IF(Pay_Num&lt;&gt;"",Beg_Bal*Interest_Rate/Num_Pmt_Per_Year,"")</f>
        <v>0</v>
      </c>
      <c r="I80" s="70">
        <f>IF(AND(Pay_Num&lt;&gt;"",Sched_Pay+Extra_Pay&lt;Beg_Bal),Beg_Bal-Princ,IF(Pay_Num&lt;&gt;"",0,""))</f>
        <v>0</v>
      </c>
      <c r="J80" s="70">
        <f>SUM($H$18:$H80)</f>
        <v>8041.5444282238004</v>
      </c>
    </row>
    <row r="81" spans="1:10" x14ac:dyDescent="0.3">
      <c r="A81" s="36">
        <f>IF(Values_Entered,A80+1,"")</f>
        <v>64</v>
      </c>
      <c r="B81" s="35">
        <f>IF(Pay_Num&lt;&gt;"",DATE(YEAR(Loan_Start),MONTH(Loan_Start)+(Pay_Num)*12/Num_Pmt_Per_Year,DAY(Loan_Start)),"")</f>
        <v>47331</v>
      </c>
      <c r="C81" s="70">
        <f>IF(Pay_Num&lt;&gt;"",I80,"")</f>
        <v>0</v>
      </c>
      <c r="D81" s="70">
        <f>IF(Pay_Num&lt;&gt;"",Scheduled_Monthly_Payment,"")</f>
        <v>2418.3976845093252</v>
      </c>
      <c r="E81" s="71">
        <f>IF(AND(Pay_Num&lt;&gt;"",Sched_Pay+Scheduled_Extra_Payments&lt;Beg_Bal),Scheduled_Extra_Payments,IF(AND(Pay_Num&lt;&gt;"",Beg_Bal-Sched_Pay&gt;0),Beg_Bal-Sched_Pay,IF(Pay_Num&lt;&gt;"",0,"")))</f>
        <v>0</v>
      </c>
      <c r="F81" s="70">
        <f>IF(AND(Pay_Num&lt;&gt;"",Sched_Pay+Extra_Pay&lt;Beg_Bal),Sched_Pay+Extra_Pay,IF(Pay_Num&lt;&gt;"",Beg_Bal,""))</f>
        <v>0</v>
      </c>
      <c r="G81" s="70">
        <f>IF(Pay_Num&lt;&gt;"",Total_Pay-Int,"")</f>
        <v>0</v>
      </c>
      <c r="H81" s="70">
        <f>IF(Pay_Num&lt;&gt;"",Beg_Bal*Interest_Rate/Num_Pmt_Per_Year,"")</f>
        <v>0</v>
      </c>
      <c r="I81" s="70">
        <f>IF(AND(Pay_Num&lt;&gt;"",Sched_Pay+Extra_Pay&lt;Beg_Bal),Beg_Bal-Princ,IF(Pay_Num&lt;&gt;"",0,""))</f>
        <v>0</v>
      </c>
      <c r="J81" s="70">
        <f>SUM($H$18:$H81)</f>
        <v>8041.5444282238004</v>
      </c>
    </row>
    <row r="82" spans="1:10" x14ac:dyDescent="0.3">
      <c r="A82" s="36">
        <f>IF(Values_Entered,A81+1,"")</f>
        <v>65</v>
      </c>
      <c r="B82" s="35">
        <f>IF(Pay_Num&lt;&gt;"",DATE(YEAR(Loan_Start),MONTH(Loan_Start)+(Pay_Num)*12/Num_Pmt_Per_Year,DAY(Loan_Start)),"")</f>
        <v>47362</v>
      </c>
      <c r="C82" s="70">
        <f>IF(Pay_Num&lt;&gt;"",I81,"")</f>
        <v>0</v>
      </c>
      <c r="D82" s="70">
        <f>IF(Pay_Num&lt;&gt;"",Scheduled_Monthly_Payment,"")</f>
        <v>2418.3976845093252</v>
      </c>
      <c r="E82" s="71">
        <f>IF(AND(Pay_Num&lt;&gt;"",Sched_Pay+Scheduled_Extra_Payments&lt;Beg_Bal),Scheduled_Extra_Payments,IF(AND(Pay_Num&lt;&gt;"",Beg_Bal-Sched_Pay&gt;0),Beg_Bal-Sched_Pay,IF(Pay_Num&lt;&gt;"",0,"")))</f>
        <v>0</v>
      </c>
      <c r="F82" s="70">
        <f>IF(AND(Pay_Num&lt;&gt;"",Sched_Pay+Extra_Pay&lt;Beg_Bal),Sched_Pay+Extra_Pay,IF(Pay_Num&lt;&gt;"",Beg_Bal,""))</f>
        <v>0</v>
      </c>
      <c r="G82" s="70">
        <f>IF(Pay_Num&lt;&gt;"",Total_Pay-Int,"")</f>
        <v>0</v>
      </c>
      <c r="H82" s="70">
        <f>IF(Pay_Num&lt;&gt;"",Beg_Bal*Interest_Rate/Num_Pmt_Per_Year,"")</f>
        <v>0</v>
      </c>
      <c r="I82" s="70">
        <f>IF(AND(Pay_Num&lt;&gt;"",Sched_Pay+Extra_Pay&lt;Beg_Bal),Beg_Bal-Princ,IF(Pay_Num&lt;&gt;"",0,""))</f>
        <v>0</v>
      </c>
      <c r="J82" s="70">
        <f>SUM($H$18:$H82)</f>
        <v>8041.5444282238004</v>
      </c>
    </row>
    <row r="83" spans="1:10" x14ac:dyDescent="0.3">
      <c r="A83" s="36">
        <f>IF(Values_Entered,A82+1,"")</f>
        <v>66</v>
      </c>
      <c r="B83" s="35">
        <f>IF(Pay_Num&lt;&gt;"",DATE(YEAR(Loan_Start),MONTH(Loan_Start)+(Pay_Num)*12/Num_Pmt_Per_Year,DAY(Loan_Start)),"")</f>
        <v>47392</v>
      </c>
      <c r="C83" s="70">
        <f>IF(Pay_Num&lt;&gt;"",I82,"")</f>
        <v>0</v>
      </c>
      <c r="D83" s="70">
        <f>IF(Pay_Num&lt;&gt;"",Scheduled_Monthly_Payment,"")</f>
        <v>2418.3976845093252</v>
      </c>
      <c r="E83" s="71">
        <f>IF(AND(Pay_Num&lt;&gt;"",Sched_Pay+Scheduled_Extra_Payments&lt;Beg_Bal),Scheduled_Extra_Payments,IF(AND(Pay_Num&lt;&gt;"",Beg_Bal-Sched_Pay&gt;0),Beg_Bal-Sched_Pay,IF(Pay_Num&lt;&gt;"",0,"")))</f>
        <v>0</v>
      </c>
      <c r="F83" s="70">
        <f>IF(AND(Pay_Num&lt;&gt;"",Sched_Pay+Extra_Pay&lt;Beg_Bal),Sched_Pay+Extra_Pay,IF(Pay_Num&lt;&gt;"",Beg_Bal,""))</f>
        <v>0</v>
      </c>
      <c r="G83" s="70">
        <f>IF(Pay_Num&lt;&gt;"",Total_Pay-Int,"")</f>
        <v>0</v>
      </c>
      <c r="H83" s="70">
        <f>IF(Pay_Num&lt;&gt;"",Beg_Bal*Interest_Rate/Num_Pmt_Per_Year,"")</f>
        <v>0</v>
      </c>
      <c r="I83" s="70">
        <f>IF(AND(Pay_Num&lt;&gt;"",Sched_Pay+Extra_Pay&lt;Beg_Bal),Beg_Bal-Princ,IF(Pay_Num&lt;&gt;"",0,""))</f>
        <v>0</v>
      </c>
      <c r="J83" s="70">
        <f>SUM($H$18:$H83)</f>
        <v>8041.5444282238004</v>
      </c>
    </row>
    <row r="84" spans="1:10" x14ac:dyDescent="0.3">
      <c r="A84" s="36">
        <f>IF(Values_Entered,A83+1,"")</f>
        <v>67</v>
      </c>
      <c r="B84" s="35">
        <f>IF(Pay_Num&lt;&gt;"",DATE(YEAR(Loan_Start),MONTH(Loan_Start)+(Pay_Num)*12/Num_Pmt_Per_Year,DAY(Loan_Start)),"")</f>
        <v>47423</v>
      </c>
      <c r="C84" s="70">
        <f>IF(Pay_Num&lt;&gt;"",I83,"")</f>
        <v>0</v>
      </c>
      <c r="D84" s="70">
        <f>IF(Pay_Num&lt;&gt;"",Scheduled_Monthly_Payment,"")</f>
        <v>2418.3976845093252</v>
      </c>
      <c r="E84" s="71">
        <f>IF(AND(Pay_Num&lt;&gt;"",Sched_Pay+Scheduled_Extra_Payments&lt;Beg_Bal),Scheduled_Extra_Payments,IF(AND(Pay_Num&lt;&gt;"",Beg_Bal-Sched_Pay&gt;0),Beg_Bal-Sched_Pay,IF(Pay_Num&lt;&gt;"",0,"")))</f>
        <v>0</v>
      </c>
      <c r="F84" s="70">
        <f>IF(AND(Pay_Num&lt;&gt;"",Sched_Pay+Extra_Pay&lt;Beg_Bal),Sched_Pay+Extra_Pay,IF(Pay_Num&lt;&gt;"",Beg_Bal,""))</f>
        <v>0</v>
      </c>
      <c r="G84" s="70">
        <f>IF(Pay_Num&lt;&gt;"",Total_Pay-Int,"")</f>
        <v>0</v>
      </c>
      <c r="H84" s="70">
        <f>IF(Pay_Num&lt;&gt;"",Beg_Bal*Interest_Rate/Num_Pmt_Per_Year,"")</f>
        <v>0</v>
      </c>
      <c r="I84" s="70">
        <f>IF(AND(Pay_Num&lt;&gt;"",Sched_Pay+Extra_Pay&lt;Beg_Bal),Beg_Bal-Princ,IF(Pay_Num&lt;&gt;"",0,""))</f>
        <v>0</v>
      </c>
      <c r="J84" s="70">
        <f>SUM($H$18:$H84)</f>
        <v>8041.5444282238004</v>
      </c>
    </row>
    <row r="85" spans="1:10" x14ac:dyDescent="0.3">
      <c r="A85" s="36">
        <f>IF(Values_Entered,A84+1,"")</f>
        <v>68</v>
      </c>
      <c r="B85" s="35">
        <f>IF(Pay_Num&lt;&gt;"",DATE(YEAR(Loan_Start),MONTH(Loan_Start)+(Pay_Num)*12/Num_Pmt_Per_Year,DAY(Loan_Start)),"")</f>
        <v>47453</v>
      </c>
      <c r="C85" s="70">
        <f>IF(Pay_Num&lt;&gt;"",I84,"")</f>
        <v>0</v>
      </c>
      <c r="D85" s="70">
        <f>IF(Pay_Num&lt;&gt;"",Scheduled_Monthly_Payment,"")</f>
        <v>2418.3976845093252</v>
      </c>
      <c r="E85" s="71">
        <f>IF(AND(Pay_Num&lt;&gt;"",Sched_Pay+Scheduled_Extra_Payments&lt;Beg_Bal),Scheduled_Extra_Payments,IF(AND(Pay_Num&lt;&gt;"",Beg_Bal-Sched_Pay&gt;0),Beg_Bal-Sched_Pay,IF(Pay_Num&lt;&gt;"",0,"")))</f>
        <v>0</v>
      </c>
      <c r="F85" s="70">
        <f>IF(AND(Pay_Num&lt;&gt;"",Sched_Pay+Extra_Pay&lt;Beg_Bal),Sched_Pay+Extra_Pay,IF(Pay_Num&lt;&gt;"",Beg_Bal,""))</f>
        <v>0</v>
      </c>
      <c r="G85" s="70">
        <f>IF(Pay_Num&lt;&gt;"",Total_Pay-Int,"")</f>
        <v>0</v>
      </c>
      <c r="H85" s="70">
        <f>IF(Pay_Num&lt;&gt;"",Beg_Bal*Interest_Rate/Num_Pmt_Per_Year,"")</f>
        <v>0</v>
      </c>
      <c r="I85" s="70">
        <f>IF(AND(Pay_Num&lt;&gt;"",Sched_Pay+Extra_Pay&lt;Beg_Bal),Beg_Bal-Princ,IF(Pay_Num&lt;&gt;"",0,""))</f>
        <v>0</v>
      </c>
      <c r="J85" s="70">
        <f>SUM($H$18:$H85)</f>
        <v>8041.5444282238004</v>
      </c>
    </row>
    <row r="86" spans="1:10" x14ac:dyDescent="0.3">
      <c r="A86" s="36">
        <f>IF(Values_Entered,A85+1,"")</f>
        <v>69</v>
      </c>
      <c r="B86" s="35">
        <f>IF(Pay_Num&lt;&gt;"",DATE(YEAR(Loan_Start),MONTH(Loan_Start)+(Pay_Num)*12/Num_Pmt_Per_Year,DAY(Loan_Start)),"")</f>
        <v>47484</v>
      </c>
      <c r="C86" s="70">
        <f>IF(Pay_Num&lt;&gt;"",I85,"")</f>
        <v>0</v>
      </c>
      <c r="D86" s="70">
        <f>IF(Pay_Num&lt;&gt;"",Scheduled_Monthly_Payment,"")</f>
        <v>2418.3976845093252</v>
      </c>
      <c r="E86" s="71">
        <f>IF(AND(Pay_Num&lt;&gt;"",Sched_Pay+Scheduled_Extra_Payments&lt;Beg_Bal),Scheduled_Extra_Payments,IF(AND(Pay_Num&lt;&gt;"",Beg_Bal-Sched_Pay&gt;0),Beg_Bal-Sched_Pay,IF(Pay_Num&lt;&gt;"",0,"")))</f>
        <v>0</v>
      </c>
      <c r="F86" s="70">
        <f>IF(AND(Pay_Num&lt;&gt;"",Sched_Pay+Extra_Pay&lt;Beg_Bal),Sched_Pay+Extra_Pay,IF(Pay_Num&lt;&gt;"",Beg_Bal,""))</f>
        <v>0</v>
      </c>
      <c r="G86" s="70">
        <f>IF(Pay_Num&lt;&gt;"",Total_Pay-Int,"")</f>
        <v>0</v>
      </c>
      <c r="H86" s="70">
        <f>IF(Pay_Num&lt;&gt;"",Beg_Bal*Interest_Rate/Num_Pmt_Per_Year,"")</f>
        <v>0</v>
      </c>
      <c r="I86" s="70">
        <f>IF(AND(Pay_Num&lt;&gt;"",Sched_Pay+Extra_Pay&lt;Beg_Bal),Beg_Bal-Princ,IF(Pay_Num&lt;&gt;"",0,""))</f>
        <v>0</v>
      </c>
      <c r="J86" s="70">
        <f>SUM($H$18:$H86)</f>
        <v>8041.5444282238004</v>
      </c>
    </row>
    <row r="87" spans="1:10" x14ac:dyDescent="0.3">
      <c r="A87" s="36">
        <f>IF(Values_Entered,A86+1,"")</f>
        <v>70</v>
      </c>
      <c r="B87" s="35">
        <f>IF(Pay_Num&lt;&gt;"",DATE(YEAR(Loan_Start),MONTH(Loan_Start)+(Pay_Num)*12/Num_Pmt_Per_Year,DAY(Loan_Start)),"")</f>
        <v>47515</v>
      </c>
      <c r="C87" s="70">
        <f>IF(Pay_Num&lt;&gt;"",I86,"")</f>
        <v>0</v>
      </c>
      <c r="D87" s="70">
        <f>IF(Pay_Num&lt;&gt;"",Scheduled_Monthly_Payment,"")</f>
        <v>2418.3976845093252</v>
      </c>
      <c r="E87" s="71">
        <f>IF(AND(Pay_Num&lt;&gt;"",Sched_Pay+Scheduled_Extra_Payments&lt;Beg_Bal),Scheduled_Extra_Payments,IF(AND(Pay_Num&lt;&gt;"",Beg_Bal-Sched_Pay&gt;0),Beg_Bal-Sched_Pay,IF(Pay_Num&lt;&gt;"",0,"")))</f>
        <v>0</v>
      </c>
      <c r="F87" s="70">
        <f>IF(AND(Pay_Num&lt;&gt;"",Sched_Pay+Extra_Pay&lt;Beg_Bal),Sched_Pay+Extra_Pay,IF(Pay_Num&lt;&gt;"",Beg_Bal,""))</f>
        <v>0</v>
      </c>
      <c r="G87" s="70">
        <f>IF(Pay_Num&lt;&gt;"",Total_Pay-Int,"")</f>
        <v>0</v>
      </c>
      <c r="H87" s="70">
        <f>IF(Pay_Num&lt;&gt;"",Beg_Bal*Interest_Rate/Num_Pmt_Per_Year,"")</f>
        <v>0</v>
      </c>
      <c r="I87" s="70">
        <f>IF(AND(Pay_Num&lt;&gt;"",Sched_Pay+Extra_Pay&lt;Beg_Bal),Beg_Bal-Princ,IF(Pay_Num&lt;&gt;"",0,""))</f>
        <v>0</v>
      </c>
      <c r="J87" s="70">
        <f>SUM($H$18:$H87)</f>
        <v>8041.5444282238004</v>
      </c>
    </row>
    <row r="88" spans="1:10" x14ac:dyDescent="0.3">
      <c r="A88" s="36">
        <f>IF(Values_Entered,A87+1,"")</f>
        <v>71</v>
      </c>
      <c r="B88" s="35">
        <f>IF(Pay_Num&lt;&gt;"",DATE(YEAR(Loan_Start),MONTH(Loan_Start)+(Pay_Num)*12/Num_Pmt_Per_Year,DAY(Loan_Start)),"")</f>
        <v>47543</v>
      </c>
      <c r="C88" s="70">
        <f>IF(Pay_Num&lt;&gt;"",I87,"")</f>
        <v>0</v>
      </c>
      <c r="D88" s="70">
        <f>IF(Pay_Num&lt;&gt;"",Scheduled_Monthly_Payment,"")</f>
        <v>2418.3976845093252</v>
      </c>
      <c r="E88" s="71">
        <f>IF(AND(Pay_Num&lt;&gt;"",Sched_Pay+Scheduled_Extra_Payments&lt;Beg_Bal),Scheduled_Extra_Payments,IF(AND(Pay_Num&lt;&gt;"",Beg_Bal-Sched_Pay&gt;0),Beg_Bal-Sched_Pay,IF(Pay_Num&lt;&gt;"",0,"")))</f>
        <v>0</v>
      </c>
      <c r="F88" s="70">
        <f>IF(AND(Pay_Num&lt;&gt;"",Sched_Pay+Extra_Pay&lt;Beg_Bal),Sched_Pay+Extra_Pay,IF(Pay_Num&lt;&gt;"",Beg_Bal,""))</f>
        <v>0</v>
      </c>
      <c r="G88" s="70">
        <f>IF(Pay_Num&lt;&gt;"",Total_Pay-Int,"")</f>
        <v>0</v>
      </c>
      <c r="H88" s="70">
        <f>IF(Pay_Num&lt;&gt;"",Beg_Bal*Interest_Rate/Num_Pmt_Per_Year,"")</f>
        <v>0</v>
      </c>
      <c r="I88" s="70">
        <f>IF(AND(Pay_Num&lt;&gt;"",Sched_Pay+Extra_Pay&lt;Beg_Bal),Beg_Bal-Princ,IF(Pay_Num&lt;&gt;"",0,""))</f>
        <v>0</v>
      </c>
      <c r="J88" s="70">
        <f>SUM($H$18:$H88)</f>
        <v>8041.5444282238004</v>
      </c>
    </row>
    <row r="89" spans="1:10" x14ac:dyDescent="0.3">
      <c r="A89" s="36">
        <f>IF(Values_Entered,A88+1,"")</f>
        <v>72</v>
      </c>
      <c r="B89" s="35">
        <f>IF(Pay_Num&lt;&gt;"",DATE(YEAR(Loan_Start),MONTH(Loan_Start)+(Pay_Num)*12/Num_Pmt_Per_Year,DAY(Loan_Start)),"")</f>
        <v>47574</v>
      </c>
      <c r="C89" s="70">
        <f>IF(Pay_Num&lt;&gt;"",I88,"")</f>
        <v>0</v>
      </c>
      <c r="D89" s="70">
        <f>IF(Pay_Num&lt;&gt;"",Scheduled_Monthly_Payment,"")</f>
        <v>2418.3976845093252</v>
      </c>
      <c r="E89" s="71">
        <f>IF(AND(Pay_Num&lt;&gt;"",Sched_Pay+Scheduled_Extra_Payments&lt;Beg_Bal),Scheduled_Extra_Payments,IF(AND(Pay_Num&lt;&gt;"",Beg_Bal-Sched_Pay&gt;0),Beg_Bal-Sched_Pay,IF(Pay_Num&lt;&gt;"",0,"")))</f>
        <v>0</v>
      </c>
      <c r="F89" s="70">
        <f>IF(AND(Pay_Num&lt;&gt;"",Sched_Pay+Extra_Pay&lt;Beg_Bal),Sched_Pay+Extra_Pay,IF(Pay_Num&lt;&gt;"",Beg_Bal,""))</f>
        <v>0</v>
      </c>
      <c r="G89" s="70">
        <f>IF(Pay_Num&lt;&gt;"",Total_Pay-Int,"")</f>
        <v>0</v>
      </c>
      <c r="H89" s="70">
        <f>IF(Pay_Num&lt;&gt;"",Beg_Bal*Interest_Rate/Num_Pmt_Per_Year,"")</f>
        <v>0</v>
      </c>
      <c r="I89" s="70">
        <f>IF(AND(Pay_Num&lt;&gt;"",Sched_Pay+Extra_Pay&lt;Beg_Bal),Beg_Bal-Princ,IF(Pay_Num&lt;&gt;"",0,""))</f>
        <v>0</v>
      </c>
      <c r="J89" s="70">
        <f>SUM($H$18:$H89)</f>
        <v>8041.5444282238004</v>
      </c>
    </row>
    <row r="90" spans="1:10" x14ac:dyDescent="0.3">
      <c r="A90" s="36">
        <f>IF(Values_Entered,A89+1,"")</f>
        <v>73</v>
      </c>
      <c r="B90" s="35">
        <f>IF(Pay_Num&lt;&gt;"",DATE(YEAR(Loan_Start),MONTH(Loan_Start)+(Pay_Num)*12/Num_Pmt_Per_Year,DAY(Loan_Start)),"")</f>
        <v>47604</v>
      </c>
      <c r="C90" s="70">
        <f>IF(Pay_Num&lt;&gt;"",I89,"")</f>
        <v>0</v>
      </c>
      <c r="D90" s="70">
        <f>IF(Pay_Num&lt;&gt;"",Scheduled_Monthly_Payment,"")</f>
        <v>2418.3976845093252</v>
      </c>
      <c r="E90" s="71">
        <f>IF(AND(Pay_Num&lt;&gt;"",Sched_Pay+Scheduled_Extra_Payments&lt;Beg_Bal),Scheduled_Extra_Payments,IF(AND(Pay_Num&lt;&gt;"",Beg_Bal-Sched_Pay&gt;0),Beg_Bal-Sched_Pay,IF(Pay_Num&lt;&gt;"",0,"")))</f>
        <v>0</v>
      </c>
      <c r="F90" s="70">
        <f>IF(AND(Pay_Num&lt;&gt;"",Sched_Pay+Extra_Pay&lt;Beg_Bal),Sched_Pay+Extra_Pay,IF(Pay_Num&lt;&gt;"",Beg_Bal,""))</f>
        <v>0</v>
      </c>
      <c r="G90" s="70">
        <f>IF(Pay_Num&lt;&gt;"",Total_Pay-Int,"")</f>
        <v>0</v>
      </c>
      <c r="H90" s="70">
        <f>IF(Pay_Num&lt;&gt;"",Beg_Bal*Interest_Rate/Num_Pmt_Per_Year,"")</f>
        <v>0</v>
      </c>
      <c r="I90" s="70">
        <f>IF(AND(Pay_Num&lt;&gt;"",Sched_Pay+Extra_Pay&lt;Beg_Bal),Beg_Bal-Princ,IF(Pay_Num&lt;&gt;"",0,""))</f>
        <v>0</v>
      </c>
      <c r="J90" s="70">
        <f>SUM($H$18:$H90)</f>
        <v>8041.5444282238004</v>
      </c>
    </row>
    <row r="91" spans="1:10" x14ac:dyDescent="0.3">
      <c r="A91" s="36">
        <f>IF(Values_Entered,A90+1,"")</f>
        <v>74</v>
      </c>
      <c r="B91" s="35">
        <f>IF(Pay_Num&lt;&gt;"",DATE(YEAR(Loan_Start),MONTH(Loan_Start)+(Pay_Num)*12/Num_Pmt_Per_Year,DAY(Loan_Start)),"")</f>
        <v>47635</v>
      </c>
      <c r="C91" s="70">
        <f>IF(Pay_Num&lt;&gt;"",I90,"")</f>
        <v>0</v>
      </c>
      <c r="D91" s="70">
        <f>IF(Pay_Num&lt;&gt;"",Scheduled_Monthly_Payment,"")</f>
        <v>2418.3976845093252</v>
      </c>
      <c r="E91" s="71">
        <f>IF(AND(Pay_Num&lt;&gt;"",Sched_Pay+Scheduled_Extra_Payments&lt;Beg_Bal),Scheduled_Extra_Payments,IF(AND(Pay_Num&lt;&gt;"",Beg_Bal-Sched_Pay&gt;0),Beg_Bal-Sched_Pay,IF(Pay_Num&lt;&gt;"",0,"")))</f>
        <v>0</v>
      </c>
      <c r="F91" s="70">
        <f>IF(AND(Pay_Num&lt;&gt;"",Sched_Pay+Extra_Pay&lt;Beg_Bal),Sched_Pay+Extra_Pay,IF(Pay_Num&lt;&gt;"",Beg_Bal,""))</f>
        <v>0</v>
      </c>
      <c r="G91" s="70">
        <f>IF(Pay_Num&lt;&gt;"",Total_Pay-Int,"")</f>
        <v>0</v>
      </c>
      <c r="H91" s="70">
        <f>IF(Pay_Num&lt;&gt;"",Beg_Bal*Interest_Rate/Num_Pmt_Per_Year,"")</f>
        <v>0</v>
      </c>
      <c r="I91" s="70">
        <f>IF(AND(Pay_Num&lt;&gt;"",Sched_Pay+Extra_Pay&lt;Beg_Bal),Beg_Bal-Princ,IF(Pay_Num&lt;&gt;"",0,""))</f>
        <v>0</v>
      </c>
      <c r="J91" s="70">
        <f>SUM($H$18:$H91)</f>
        <v>8041.5444282238004</v>
      </c>
    </row>
    <row r="92" spans="1:10" x14ac:dyDescent="0.3">
      <c r="A92" s="36">
        <f>IF(Values_Entered,A91+1,"")</f>
        <v>75</v>
      </c>
      <c r="B92" s="35">
        <f>IF(Pay_Num&lt;&gt;"",DATE(YEAR(Loan_Start),MONTH(Loan_Start)+(Pay_Num)*12/Num_Pmt_Per_Year,DAY(Loan_Start)),"")</f>
        <v>47665</v>
      </c>
      <c r="C92" s="70">
        <f>IF(Pay_Num&lt;&gt;"",I91,"")</f>
        <v>0</v>
      </c>
      <c r="D92" s="70">
        <f>IF(Pay_Num&lt;&gt;"",Scheduled_Monthly_Payment,"")</f>
        <v>2418.3976845093252</v>
      </c>
      <c r="E92" s="71">
        <f>IF(AND(Pay_Num&lt;&gt;"",Sched_Pay+Scheduled_Extra_Payments&lt;Beg_Bal),Scheduled_Extra_Payments,IF(AND(Pay_Num&lt;&gt;"",Beg_Bal-Sched_Pay&gt;0),Beg_Bal-Sched_Pay,IF(Pay_Num&lt;&gt;"",0,"")))</f>
        <v>0</v>
      </c>
      <c r="F92" s="70">
        <f>IF(AND(Pay_Num&lt;&gt;"",Sched_Pay+Extra_Pay&lt;Beg_Bal),Sched_Pay+Extra_Pay,IF(Pay_Num&lt;&gt;"",Beg_Bal,""))</f>
        <v>0</v>
      </c>
      <c r="G92" s="70">
        <f>IF(Pay_Num&lt;&gt;"",Total_Pay-Int,"")</f>
        <v>0</v>
      </c>
      <c r="H92" s="70">
        <f>IF(Pay_Num&lt;&gt;"",Beg_Bal*Interest_Rate/Num_Pmt_Per_Year,"")</f>
        <v>0</v>
      </c>
      <c r="I92" s="70">
        <f>IF(AND(Pay_Num&lt;&gt;"",Sched_Pay+Extra_Pay&lt;Beg_Bal),Beg_Bal-Princ,IF(Pay_Num&lt;&gt;"",0,""))</f>
        <v>0</v>
      </c>
      <c r="J92" s="70">
        <f>SUM($H$18:$H92)</f>
        <v>8041.5444282238004</v>
      </c>
    </row>
    <row r="93" spans="1:10" x14ac:dyDescent="0.3">
      <c r="A93" s="36">
        <f>IF(Values_Entered,A92+1,"")</f>
        <v>76</v>
      </c>
      <c r="B93" s="35">
        <f>IF(Pay_Num&lt;&gt;"",DATE(YEAR(Loan_Start),MONTH(Loan_Start)+(Pay_Num)*12/Num_Pmt_Per_Year,DAY(Loan_Start)),"")</f>
        <v>47696</v>
      </c>
      <c r="C93" s="70">
        <f>IF(Pay_Num&lt;&gt;"",I92,"")</f>
        <v>0</v>
      </c>
      <c r="D93" s="70">
        <f>IF(Pay_Num&lt;&gt;"",Scheduled_Monthly_Payment,"")</f>
        <v>2418.3976845093252</v>
      </c>
      <c r="E93" s="71">
        <f>IF(AND(Pay_Num&lt;&gt;"",Sched_Pay+Scheduled_Extra_Payments&lt;Beg_Bal),Scheduled_Extra_Payments,IF(AND(Pay_Num&lt;&gt;"",Beg_Bal-Sched_Pay&gt;0),Beg_Bal-Sched_Pay,IF(Pay_Num&lt;&gt;"",0,"")))</f>
        <v>0</v>
      </c>
      <c r="F93" s="70">
        <f>IF(AND(Pay_Num&lt;&gt;"",Sched_Pay+Extra_Pay&lt;Beg_Bal),Sched_Pay+Extra_Pay,IF(Pay_Num&lt;&gt;"",Beg_Bal,""))</f>
        <v>0</v>
      </c>
      <c r="G93" s="70">
        <f>IF(Pay_Num&lt;&gt;"",Total_Pay-Int,"")</f>
        <v>0</v>
      </c>
      <c r="H93" s="70">
        <f>IF(Pay_Num&lt;&gt;"",Beg_Bal*Interest_Rate/Num_Pmt_Per_Year,"")</f>
        <v>0</v>
      </c>
      <c r="I93" s="70">
        <f>IF(AND(Pay_Num&lt;&gt;"",Sched_Pay+Extra_Pay&lt;Beg_Bal),Beg_Bal-Princ,IF(Pay_Num&lt;&gt;"",0,""))</f>
        <v>0</v>
      </c>
      <c r="J93" s="70">
        <f>SUM($H$18:$H93)</f>
        <v>8041.5444282238004</v>
      </c>
    </row>
    <row r="94" spans="1:10" x14ac:dyDescent="0.3">
      <c r="A94" s="36">
        <f>IF(Values_Entered,A93+1,"")</f>
        <v>77</v>
      </c>
      <c r="B94" s="35">
        <f>IF(Pay_Num&lt;&gt;"",DATE(YEAR(Loan_Start),MONTH(Loan_Start)+(Pay_Num)*12/Num_Pmt_Per_Year,DAY(Loan_Start)),"")</f>
        <v>47727</v>
      </c>
      <c r="C94" s="70">
        <f>IF(Pay_Num&lt;&gt;"",I93,"")</f>
        <v>0</v>
      </c>
      <c r="D94" s="70">
        <f>IF(Pay_Num&lt;&gt;"",Scheduled_Monthly_Payment,"")</f>
        <v>2418.3976845093252</v>
      </c>
      <c r="E94" s="71">
        <f>IF(AND(Pay_Num&lt;&gt;"",Sched_Pay+Scheduled_Extra_Payments&lt;Beg_Bal),Scheduled_Extra_Payments,IF(AND(Pay_Num&lt;&gt;"",Beg_Bal-Sched_Pay&gt;0),Beg_Bal-Sched_Pay,IF(Pay_Num&lt;&gt;"",0,"")))</f>
        <v>0</v>
      </c>
      <c r="F94" s="70">
        <f>IF(AND(Pay_Num&lt;&gt;"",Sched_Pay+Extra_Pay&lt;Beg_Bal),Sched_Pay+Extra_Pay,IF(Pay_Num&lt;&gt;"",Beg_Bal,""))</f>
        <v>0</v>
      </c>
      <c r="G94" s="70">
        <f>IF(Pay_Num&lt;&gt;"",Total_Pay-Int,"")</f>
        <v>0</v>
      </c>
      <c r="H94" s="70">
        <f>IF(Pay_Num&lt;&gt;"",Beg_Bal*Interest_Rate/Num_Pmt_Per_Year,"")</f>
        <v>0</v>
      </c>
      <c r="I94" s="70">
        <f>IF(AND(Pay_Num&lt;&gt;"",Sched_Pay+Extra_Pay&lt;Beg_Bal),Beg_Bal-Princ,IF(Pay_Num&lt;&gt;"",0,""))</f>
        <v>0</v>
      </c>
      <c r="J94" s="70">
        <f>SUM($H$18:$H94)</f>
        <v>8041.5444282238004</v>
      </c>
    </row>
    <row r="95" spans="1:10" x14ac:dyDescent="0.3">
      <c r="A95" s="36">
        <f>IF(Values_Entered,A94+1,"")</f>
        <v>78</v>
      </c>
      <c r="B95" s="35">
        <f>IF(Pay_Num&lt;&gt;"",DATE(YEAR(Loan_Start),MONTH(Loan_Start)+(Pay_Num)*12/Num_Pmt_Per_Year,DAY(Loan_Start)),"")</f>
        <v>47757</v>
      </c>
      <c r="C95" s="70">
        <f>IF(Pay_Num&lt;&gt;"",I94,"")</f>
        <v>0</v>
      </c>
      <c r="D95" s="70">
        <f>IF(Pay_Num&lt;&gt;"",Scheduled_Monthly_Payment,"")</f>
        <v>2418.3976845093252</v>
      </c>
      <c r="E95" s="71">
        <f>IF(AND(Pay_Num&lt;&gt;"",Sched_Pay+Scheduled_Extra_Payments&lt;Beg_Bal),Scheduled_Extra_Payments,IF(AND(Pay_Num&lt;&gt;"",Beg_Bal-Sched_Pay&gt;0),Beg_Bal-Sched_Pay,IF(Pay_Num&lt;&gt;"",0,"")))</f>
        <v>0</v>
      </c>
      <c r="F95" s="70">
        <f>IF(AND(Pay_Num&lt;&gt;"",Sched_Pay+Extra_Pay&lt;Beg_Bal),Sched_Pay+Extra_Pay,IF(Pay_Num&lt;&gt;"",Beg_Bal,""))</f>
        <v>0</v>
      </c>
      <c r="G95" s="70">
        <f>IF(Pay_Num&lt;&gt;"",Total_Pay-Int,"")</f>
        <v>0</v>
      </c>
      <c r="H95" s="70">
        <f>IF(Pay_Num&lt;&gt;"",Beg_Bal*Interest_Rate/Num_Pmt_Per_Year,"")</f>
        <v>0</v>
      </c>
      <c r="I95" s="70">
        <f>IF(AND(Pay_Num&lt;&gt;"",Sched_Pay+Extra_Pay&lt;Beg_Bal),Beg_Bal-Princ,IF(Pay_Num&lt;&gt;"",0,""))</f>
        <v>0</v>
      </c>
      <c r="J95" s="70">
        <f>SUM($H$18:$H95)</f>
        <v>8041.5444282238004</v>
      </c>
    </row>
    <row r="96" spans="1:10" x14ac:dyDescent="0.3">
      <c r="A96" s="36">
        <f>IF(Values_Entered,A95+1,"")</f>
        <v>79</v>
      </c>
      <c r="B96" s="35">
        <f>IF(Pay_Num&lt;&gt;"",DATE(YEAR(Loan_Start),MONTH(Loan_Start)+(Pay_Num)*12/Num_Pmt_Per_Year,DAY(Loan_Start)),"")</f>
        <v>47788</v>
      </c>
      <c r="C96" s="70">
        <f>IF(Pay_Num&lt;&gt;"",I95,"")</f>
        <v>0</v>
      </c>
      <c r="D96" s="70">
        <f>IF(Pay_Num&lt;&gt;"",Scheduled_Monthly_Payment,"")</f>
        <v>2418.3976845093252</v>
      </c>
      <c r="E96" s="71">
        <f>IF(AND(Pay_Num&lt;&gt;"",Sched_Pay+Scheduled_Extra_Payments&lt;Beg_Bal),Scheduled_Extra_Payments,IF(AND(Pay_Num&lt;&gt;"",Beg_Bal-Sched_Pay&gt;0),Beg_Bal-Sched_Pay,IF(Pay_Num&lt;&gt;"",0,"")))</f>
        <v>0</v>
      </c>
      <c r="F96" s="70">
        <f>IF(AND(Pay_Num&lt;&gt;"",Sched_Pay+Extra_Pay&lt;Beg_Bal),Sched_Pay+Extra_Pay,IF(Pay_Num&lt;&gt;"",Beg_Bal,""))</f>
        <v>0</v>
      </c>
      <c r="G96" s="70">
        <f>IF(Pay_Num&lt;&gt;"",Total_Pay-Int,"")</f>
        <v>0</v>
      </c>
      <c r="H96" s="70">
        <f>IF(Pay_Num&lt;&gt;"",Beg_Bal*Interest_Rate/Num_Pmt_Per_Year,"")</f>
        <v>0</v>
      </c>
      <c r="I96" s="70">
        <f>IF(AND(Pay_Num&lt;&gt;"",Sched_Pay+Extra_Pay&lt;Beg_Bal),Beg_Bal-Princ,IF(Pay_Num&lt;&gt;"",0,""))</f>
        <v>0</v>
      </c>
      <c r="J96" s="70">
        <f>SUM($H$18:$H96)</f>
        <v>8041.5444282238004</v>
      </c>
    </row>
    <row r="97" spans="1:10" x14ac:dyDescent="0.3">
      <c r="A97" s="36">
        <f>IF(Values_Entered,A96+1,"")</f>
        <v>80</v>
      </c>
      <c r="B97" s="35">
        <f>IF(Pay_Num&lt;&gt;"",DATE(YEAR(Loan_Start),MONTH(Loan_Start)+(Pay_Num)*12/Num_Pmt_Per_Year,DAY(Loan_Start)),"")</f>
        <v>47818</v>
      </c>
      <c r="C97" s="70">
        <f>IF(Pay_Num&lt;&gt;"",I96,"")</f>
        <v>0</v>
      </c>
      <c r="D97" s="70">
        <f>IF(Pay_Num&lt;&gt;"",Scheduled_Monthly_Payment,"")</f>
        <v>2418.3976845093252</v>
      </c>
      <c r="E97" s="71">
        <f>IF(AND(Pay_Num&lt;&gt;"",Sched_Pay+Scheduled_Extra_Payments&lt;Beg_Bal),Scheduled_Extra_Payments,IF(AND(Pay_Num&lt;&gt;"",Beg_Bal-Sched_Pay&gt;0),Beg_Bal-Sched_Pay,IF(Pay_Num&lt;&gt;"",0,"")))</f>
        <v>0</v>
      </c>
      <c r="F97" s="70">
        <f>IF(AND(Pay_Num&lt;&gt;"",Sched_Pay+Extra_Pay&lt;Beg_Bal),Sched_Pay+Extra_Pay,IF(Pay_Num&lt;&gt;"",Beg_Bal,""))</f>
        <v>0</v>
      </c>
      <c r="G97" s="70">
        <f>IF(Pay_Num&lt;&gt;"",Total_Pay-Int,"")</f>
        <v>0</v>
      </c>
      <c r="H97" s="70">
        <f>IF(Pay_Num&lt;&gt;"",Beg_Bal*Interest_Rate/Num_Pmt_Per_Year,"")</f>
        <v>0</v>
      </c>
      <c r="I97" s="70">
        <f>IF(AND(Pay_Num&lt;&gt;"",Sched_Pay+Extra_Pay&lt;Beg_Bal),Beg_Bal-Princ,IF(Pay_Num&lt;&gt;"",0,""))</f>
        <v>0</v>
      </c>
      <c r="J97" s="70">
        <f>SUM($H$18:$H97)</f>
        <v>8041.5444282238004</v>
      </c>
    </row>
    <row r="98" spans="1:10" x14ac:dyDescent="0.3">
      <c r="A98" s="36">
        <f>IF(Values_Entered,A97+1,"")</f>
        <v>81</v>
      </c>
      <c r="B98" s="35">
        <f>IF(Pay_Num&lt;&gt;"",DATE(YEAR(Loan_Start),MONTH(Loan_Start)+(Pay_Num)*12/Num_Pmt_Per_Year,DAY(Loan_Start)),"")</f>
        <v>47849</v>
      </c>
      <c r="C98" s="70">
        <f>IF(Pay_Num&lt;&gt;"",I97,"")</f>
        <v>0</v>
      </c>
      <c r="D98" s="70">
        <f>IF(Pay_Num&lt;&gt;"",Scheduled_Monthly_Payment,"")</f>
        <v>2418.3976845093252</v>
      </c>
      <c r="E98" s="71">
        <f>IF(AND(Pay_Num&lt;&gt;"",Sched_Pay+Scheduled_Extra_Payments&lt;Beg_Bal),Scheduled_Extra_Payments,IF(AND(Pay_Num&lt;&gt;"",Beg_Bal-Sched_Pay&gt;0),Beg_Bal-Sched_Pay,IF(Pay_Num&lt;&gt;"",0,"")))</f>
        <v>0</v>
      </c>
      <c r="F98" s="70">
        <f>IF(AND(Pay_Num&lt;&gt;"",Sched_Pay+Extra_Pay&lt;Beg_Bal),Sched_Pay+Extra_Pay,IF(Pay_Num&lt;&gt;"",Beg_Bal,""))</f>
        <v>0</v>
      </c>
      <c r="G98" s="70">
        <f>IF(Pay_Num&lt;&gt;"",Total_Pay-Int,"")</f>
        <v>0</v>
      </c>
      <c r="H98" s="70">
        <f>IF(Pay_Num&lt;&gt;"",Beg_Bal*Interest_Rate/Num_Pmt_Per_Year,"")</f>
        <v>0</v>
      </c>
      <c r="I98" s="70">
        <f>IF(AND(Pay_Num&lt;&gt;"",Sched_Pay+Extra_Pay&lt;Beg_Bal),Beg_Bal-Princ,IF(Pay_Num&lt;&gt;"",0,""))</f>
        <v>0</v>
      </c>
      <c r="J98" s="70">
        <f>SUM($H$18:$H98)</f>
        <v>8041.5444282238004</v>
      </c>
    </row>
    <row r="99" spans="1:10" x14ac:dyDescent="0.3">
      <c r="A99" s="36">
        <f>IF(Values_Entered,A98+1,"")</f>
        <v>82</v>
      </c>
      <c r="B99" s="35">
        <f>IF(Pay_Num&lt;&gt;"",DATE(YEAR(Loan_Start),MONTH(Loan_Start)+(Pay_Num)*12/Num_Pmt_Per_Year,DAY(Loan_Start)),"")</f>
        <v>47880</v>
      </c>
      <c r="C99" s="70">
        <f>IF(Pay_Num&lt;&gt;"",I98,"")</f>
        <v>0</v>
      </c>
      <c r="D99" s="70">
        <f>IF(Pay_Num&lt;&gt;"",Scheduled_Monthly_Payment,"")</f>
        <v>2418.3976845093252</v>
      </c>
      <c r="E99" s="71">
        <f>IF(AND(Pay_Num&lt;&gt;"",Sched_Pay+Scheduled_Extra_Payments&lt;Beg_Bal),Scheduled_Extra_Payments,IF(AND(Pay_Num&lt;&gt;"",Beg_Bal-Sched_Pay&gt;0),Beg_Bal-Sched_Pay,IF(Pay_Num&lt;&gt;"",0,"")))</f>
        <v>0</v>
      </c>
      <c r="F99" s="70">
        <f>IF(AND(Pay_Num&lt;&gt;"",Sched_Pay+Extra_Pay&lt;Beg_Bal),Sched_Pay+Extra_Pay,IF(Pay_Num&lt;&gt;"",Beg_Bal,""))</f>
        <v>0</v>
      </c>
      <c r="G99" s="70">
        <f>IF(Pay_Num&lt;&gt;"",Total_Pay-Int,"")</f>
        <v>0</v>
      </c>
      <c r="H99" s="70">
        <f>IF(Pay_Num&lt;&gt;"",Beg_Bal*Interest_Rate/Num_Pmt_Per_Year,"")</f>
        <v>0</v>
      </c>
      <c r="I99" s="70">
        <f>IF(AND(Pay_Num&lt;&gt;"",Sched_Pay+Extra_Pay&lt;Beg_Bal),Beg_Bal-Princ,IF(Pay_Num&lt;&gt;"",0,""))</f>
        <v>0</v>
      </c>
      <c r="J99" s="70">
        <f>SUM($H$18:$H99)</f>
        <v>8041.5444282238004</v>
      </c>
    </row>
    <row r="100" spans="1:10" x14ac:dyDescent="0.3">
      <c r="A100" s="36">
        <f>IF(Values_Entered,A99+1,"")</f>
        <v>83</v>
      </c>
      <c r="B100" s="35">
        <f>IF(Pay_Num&lt;&gt;"",DATE(YEAR(Loan_Start),MONTH(Loan_Start)+(Pay_Num)*12/Num_Pmt_Per_Year,DAY(Loan_Start)),"")</f>
        <v>47908</v>
      </c>
      <c r="C100" s="70">
        <f>IF(Pay_Num&lt;&gt;"",I99,"")</f>
        <v>0</v>
      </c>
      <c r="D100" s="70">
        <f>IF(Pay_Num&lt;&gt;"",Scheduled_Monthly_Payment,"")</f>
        <v>2418.3976845093252</v>
      </c>
      <c r="E100" s="71">
        <f>IF(AND(Pay_Num&lt;&gt;"",Sched_Pay+Scheduled_Extra_Payments&lt;Beg_Bal),Scheduled_Extra_Payments,IF(AND(Pay_Num&lt;&gt;"",Beg_Bal-Sched_Pay&gt;0),Beg_Bal-Sched_Pay,IF(Pay_Num&lt;&gt;"",0,"")))</f>
        <v>0</v>
      </c>
      <c r="F100" s="70">
        <f>IF(AND(Pay_Num&lt;&gt;"",Sched_Pay+Extra_Pay&lt;Beg_Bal),Sched_Pay+Extra_Pay,IF(Pay_Num&lt;&gt;"",Beg_Bal,""))</f>
        <v>0</v>
      </c>
      <c r="G100" s="70">
        <f>IF(Pay_Num&lt;&gt;"",Total_Pay-Int,"")</f>
        <v>0</v>
      </c>
      <c r="H100" s="70">
        <f>IF(Pay_Num&lt;&gt;"",Beg_Bal*Interest_Rate/Num_Pmt_Per_Year,"")</f>
        <v>0</v>
      </c>
      <c r="I100" s="70">
        <f>IF(AND(Pay_Num&lt;&gt;"",Sched_Pay+Extra_Pay&lt;Beg_Bal),Beg_Bal-Princ,IF(Pay_Num&lt;&gt;"",0,""))</f>
        <v>0</v>
      </c>
      <c r="J100" s="70">
        <f>SUM($H$18:$H100)</f>
        <v>8041.5444282238004</v>
      </c>
    </row>
    <row r="101" spans="1:10" x14ac:dyDescent="0.3">
      <c r="A101" s="36">
        <f>IF(Values_Entered,A100+1,"")</f>
        <v>84</v>
      </c>
      <c r="B101" s="35">
        <f>IF(Pay_Num&lt;&gt;"",DATE(YEAR(Loan_Start),MONTH(Loan_Start)+(Pay_Num)*12/Num_Pmt_Per_Year,DAY(Loan_Start)),"")</f>
        <v>47939</v>
      </c>
      <c r="C101" s="70">
        <f>IF(Pay_Num&lt;&gt;"",I100,"")</f>
        <v>0</v>
      </c>
      <c r="D101" s="70">
        <f>IF(Pay_Num&lt;&gt;"",Scheduled_Monthly_Payment,"")</f>
        <v>2418.3976845093252</v>
      </c>
      <c r="E101" s="71">
        <f>IF(AND(Pay_Num&lt;&gt;"",Sched_Pay+Scheduled_Extra_Payments&lt;Beg_Bal),Scheduled_Extra_Payments,IF(AND(Pay_Num&lt;&gt;"",Beg_Bal-Sched_Pay&gt;0),Beg_Bal-Sched_Pay,IF(Pay_Num&lt;&gt;"",0,"")))</f>
        <v>0</v>
      </c>
      <c r="F101" s="70">
        <f>IF(AND(Pay_Num&lt;&gt;"",Sched_Pay+Extra_Pay&lt;Beg_Bal),Sched_Pay+Extra_Pay,IF(Pay_Num&lt;&gt;"",Beg_Bal,""))</f>
        <v>0</v>
      </c>
      <c r="G101" s="70">
        <f>IF(Pay_Num&lt;&gt;"",Total_Pay-Int,"")</f>
        <v>0</v>
      </c>
      <c r="H101" s="70">
        <f>IF(Pay_Num&lt;&gt;"",Beg_Bal*Interest_Rate/Num_Pmt_Per_Year,"")</f>
        <v>0</v>
      </c>
      <c r="I101" s="70">
        <f>IF(AND(Pay_Num&lt;&gt;"",Sched_Pay+Extra_Pay&lt;Beg_Bal),Beg_Bal-Princ,IF(Pay_Num&lt;&gt;"",0,""))</f>
        <v>0</v>
      </c>
      <c r="J101" s="70">
        <f>SUM($H$18:$H101)</f>
        <v>8041.5444282238004</v>
      </c>
    </row>
    <row r="102" spans="1:10" x14ac:dyDescent="0.3">
      <c r="A102" s="36">
        <f>IF(Values_Entered,A101+1,"")</f>
        <v>85</v>
      </c>
      <c r="B102" s="35">
        <f>IF(Pay_Num&lt;&gt;"",DATE(YEAR(Loan_Start),MONTH(Loan_Start)+(Pay_Num)*12/Num_Pmt_Per_Year,DAY(Loan_Start)),"")</f>
        <v>47969</v>
      </c>
      <c r="C102" s="70">
        <f>IF(Pay_Num&lt;&gt;"",I101,"")</f>
        <v>0</v>
      </c>
      <c r="D102" s="70">
        <f>IF(Pay_Num&lt;&gt;"",Scheduled_Monthly_Payment,"")</f>
        <v>2418.3976845093252</v>
      </c>
      <c r="E102" s="71">
        <f>IF(AND(Pay_Num&lt;&gt;"",Sched_Pay+Scheduled_Extra_Payments&lt;Beg_Bal),Scheduled_Extra_Payments,IF(AND(Pay_Num&lt;&gt;"",Beg_Bal-Sched_Pay&gt;0),Beg_Bal-Sched_Pay,IF(Pay_Num&lt;&gt;"",0,"")))</f>
        <v>0</v>
      </c>
      <c r="F102" s="70">
        <f>IF(AND(Pay_Num&lt;&gt;"",Sched_Pay+Extra_Pay&lt;Beg_Bal),Sched_Pay+Extra_Pay,IF(Pay_Num&lt;&gt;"",Beg_Bal,""))</f>
        <v>0</v>
      </c>
      <c r="G102" s="70">
        <f>IF(Pay_Num&lt;&gt;"",Total_Pay-Int,"")</f>
        <v>0</v>
      </c>
      <c r="H102" s="70">
        <f>IF(Pay_Num&lt;&gt;"",Beg_Bal*Interest_Rate/Num_Pmt_Per_Year,"")</f>
        <v>0</v>
      </c>
      <c r="I102" s="70">
        <f>IF(AND(Pay_Num&lt;&gt;"",Sched_Pay+Extra_Pay&lt;Beg_Bal),Beg_Bal-Princ,IF(Pay_Num&lt;&gt;"",0,""))</f>
        <v>0</v>
      </c>
      <c r="J102" s="70">
        <f>SUM($H$18:$H102)</f>
        <v>8041.5444282238004</v>
      </c>
    </row>
    <row r="103" spans="1:10" x14ac:dyDescent="0.3">
      <c r="A103" s="36">
        <f>IF(Values_Entered,A102+1,"")</f>
        <v>86</v>
      </c>
      <c r="B103" s="35">
        <f>IF(Pay_Num&lt;&gt;"",DATE(YEAR(Loan_Start),MONTH(Loan_Start)+(Pay_Num)*12/Num_Pmt_Per_Year,DAY(Loan_Start)),"")</f>
        <v>48000</v>
      </c>
      <c r="C103" s="70">
        <f>IF(Pay_Num&lt;&gt;"",I102,"")</f>
        <v>0</v>
      </c>
      <c r="D103" s="70">
        <f>IF(Pay_Num&lt;&gt;"",Scheduled_Monthly_Payment,"")</f>
        <v>2418.3976845093252</v>
      </c>
      <c r="E103" s="71">
        <f>IF(AND(Pay_Num&lt;&gt;"",Sched_Pay+Scheduled_Extra_Payments&lt;Beg_Bal),Scheduled_Extra_Payments,IF(AND(Pay_Num&lt;&gt;"",Beg_Bal-Sched_Pay&gt;0),Beg_Bal-Sched_Pay,IF(Pay_Num&lt;&gt;"",0,"")))</f>
        <v>0</v>
      </c>
      <c r="F103" s="70">
        <f>IF(AND(Pay_Num&lt;&gt;"",Sched_Pay+Extra_Pay&lt;Beg_Bal),Sched_Pay+Extra_Pay,IF(Pay_Num&lt;&gt;"",Beg_Bal,""))</f>
        <v>0</v>
      </c>
      <c r="G103" s="70">
        <f>IF(Pay_Num&lt;&gt;"",Total_Pay-Int,"")</f>
        <v>0</v>
      </c>
      <c r="H103" s="70">
        <f>IF(Pay_Num&lt;&gt;"",Beg_Bal*Interest_Rate/Num_Pmt_Per_Year,"")</f>
        <v>0</v>
      </c>
      <c r="I103" s="70">
        <f>IF(AND(Pay_Num&lt;&gt;"",Sched_Pay+Extra_Pay&lt;Beg_Bal),Beg_Bal-Princ,IF(Pay_Num&lt;&gt;"",0,""))</f>
        <v>0</v>
      </c>
      <c r="J103" s="70">
        <f>SUM($H$18:$H103)</f>
        <v>8041.5444282238004</v>
      </c>
    </row>
    <row r="104" spans="1:10" x14ac:dyDescent="0.3">
      <c r="A104" s="36">
        <f>IF(Values_Entered,A103+1,"")</f>
        <v>87</v>
      </c>
      <c r="B104" s="35">
        <f>IF(Pay_Num&lt;&gt;"",DATE(YEAR(Loan_Start),MONTH(Loan_Start)+(Pay_Num)*12/Num_Pmt_Per_Year,DAY(Loan_Start)),"")</f>
        <v>48030</v>
      </c>
      <c r="C104" s="70">
        <f>IF(Pay_Num&lt;&gt;"",I103,"")</f>
        <v>0</v>
      </c>
      <c r="D104" s="70">
        <f>IF(Pay_Num&lt;&gt;"",Scheduled_Monthly_Payment,"")</f>
        <v>2418.3976845093252</v>
      </c>
      <c r="E104" s="71">
        <f>IF(AND(Pay_Num&lt;&gt;"",Sched_Pay+Scheduled_Extra_Payments&lt;Beg_Bal),Scheduled_Extra_Payments,IF(AND(Pay_Num&lt;&gt;"",Beg_Bal-Sched_Pay&gt;0),Beg_Bal-Sched_Pay,IF(Pay_Num&lt;&gt;"",0,"")))</f>
        <v>0</v>
      </c>
      <c r="F104" s="70">
        <f>IF(AND(Pay_Num&lt;&gt;"",Sched_Pay+Extra_Pay&lt;Beg_Bal),Sched_Pay+Extra_Pay,IF(Pay_Num&lt;&gt;"",Beg_Bal,""))</f>
        <v>0</v>
      </c>
      <c r="G104" s="70">
        <f>IF(Pay_Num&lt;&gt;"",Total_Pay-Int,"")</f>
        <v>0</v>
      </c>
      <c r="H104" s="70">
        <f>IF(Pay_Num&lt;&gt;"",Beg_Bal*Interest_Rate/Num_Pmt_Per_Year,"")</f>
        <v>0</v>
      </c>
      <c r="I104" s="70">
        <f>IF(AND(Pay_Num&lt;&gt;"",Sched_Pay+Extra_Pay&lt;Beg_Bal),Beg_Bal-Princ,IF(Pay_Num&lt;&gt;"",0,""))</f>
        <v>0</v>
      </c>
      <c r="J104" s="70">
        <f>SUM($H$18:$H104)</f>
        <v>8041.5444282238004</v>
      </c>
    </row>
    <row r="105" spans="1:10" x14ac:dyDescent="0.3">
      <c r="A105" s="36">
        <f>IF(Values_Entered,A104+1,"")</f>
        <v>88</v>
      </c>
      <c r="B105" s="35">
        <f>IF(Pay_Num&lt;&gt;"",DATE(YEAR(Loan_Start),MONTH(Loan_Start)+(Pay_Num)*12/Num_Pmt_Per_Year,DAY(Loan_Start)),"")</f>
        <v>48061</v>
      </c>
      <c r="C105" s="70">
        <f>IF(Pay_Num&lt;&gt;"",I104,"")</f>
        <v>0</v>
      </c>
      <c r="D105" s="70">
        <f>IF(Pay_Num&lt;&gt;"",Scheduled_Monthly_Payment,"")</f>
        <v>2418.3976845093252</v>
      </c>
      <c r="E105" s="71">
        <f>IF(AND(Pay_Num&lt;&gt;"",Sched_Pay+Scheduled_Extra_Payments&lt;Beg_Bal),Scheduled_Extra_Payments,IF(AND(Pay_Num&lt;&gt;"",Beg_Bal-Sched_Pay&gt;0),Beg_Bal-Sched_Pay,IF(Pay_Num&lt;&gt;"",0,"")))</f>
        <v>0</v>
      </c>
      <c r="F105" s="70">
        <f>IF(AND(Pay_Num&lt;&gt;"",Sched_Pay+Extra_Pay&lt;Beg_Bal),Sched_Pay+Extra_Pay,IF(Pay_Num&lt;&gt;"",Beg_Bal,""))</f>
        <v>0</v>
      </c>
      <c r="G105" s="70">
        <f>IF(Pay_Num&lt;&gt;"",Total_Pay-Int,"")</f>
        <v>0</v>
      </c>
      <c r="H105" s="70">
        <f>IF(Pay_Num&lt;&gt;"",Beg_Bal*Interest_Rate/Num_Pmt_Per_Year,"")</f>
        <v>0</v>
      </c>
      <c r="I105" s="70">
        <f>IF(AND(Pay_Num&lt;&gt;"",Sched_Pay+Extra_Pay&lt;Beg_Bal),Beg_Bal-Princ,IF(Pay_Num&lt;&gt;"",0,""))</f>
        <v>0</v>
      </c>
      <c r="J105" s="70">
        <f>SUM($H$18:$H105)</f>
        <v>8041.5444282238004</v>
      </c>
    </row>
    <row r="106" spans="1:10" x14ac:dyDescent="0.3">
      <c r="A106" s="36">
        <f>IF(Values_Entered,A105+1,"")</f>
        <v>89</v>
      </c>
      <c r="B106" s="35">
        <f>IF(Pay_Num&lt;&gt;"",DATE(YEAR(Loan_Start),MONTH(Loan_Start)+(Pay_Num)*12/Num_Pmt_Per_Year,DAY(Loan_Start)),"")</f>
        <v>48092</v>
      </c>
      <c r="C106" s="70">
        <f>IF(Pay_Num&lt;&gt;"",I105,"")</f>
        <v>0</v>
      </c>
      <c r="D106" s="70">
        <f>IF(Pay_Num&lt;&gt;"",Scheduled_Monthly_Payment,"")</f>
        <v>2418.3976845093252</v>
      </c>
      <c r="E106" s="71">
        <f>IF(AND(Pay_Num&lt;&gt;"",Sched_Pay+Scheduled_Extra_Payments&lt;Beg_Bal),Scheduled_Extra_Payments,IF(AND(Pay_Num&lt;&gt;"",Beg_Bal-Sched_Pay&gt;0),Beg_Bal-Sched_Pay,IF(Pay_Num&lt;&gt;"",0,"")))</f>
        <v>0</v>
      </c>
      <c r="F106" s="70">
        <f>IF(AND(Pay_Num&lt;&gt;"",Sched_Pay+Extra_Pay&lt;Beg_Bal),Sched_Pay+Extra_Pay,IF(Pay_Num&lt;&gt;"",Beg_Bal,""))</f>
        <v>0</v>
      </c>
      <c r="G106" s="70">
        <f>IF(Pay_Num&lt;&gt;"",Total_Pay-Int,"")</f>
        <v>0</v>
      </c>
      <c r="H106" s="70">
        <f>IF(Pay_Num&lt;&gt;"",Beg_Bal*Interest_Rate/Num_Pmt_Per_Year,"")</f>
        <v>0</v>
      </c>
      <c r="I106" s="70">
        <f>IF(AND(Pay_Num&lt;&gt;"",Sched_Pay+Extra_Pay&lt;Beg_Bal),Beg_Bal-Princ,IF(Pay_Num&lt;&gt;"",0,""))</f>
        <v>0</v>
      </c>
      <c r="J106" s="70">
        <f>SUM($H$18:$H106)</f>
        <v>8041.5444282238004</v>
      </c>
    </row>
    <row r="107" spans="1:10" x14ac:dyDescent="0.3">
      <c r="A107" s="36">
        <f>IF(Values_Entered,A106+1,"")</f>
        <v>90</v>
      </c>
      <c r="B107" s="35">
        <f>IF(Pay_Num&lt;&gt;"",DATE(YEAR(Loan_Start),MONTH(Loan_Start)+(Pay_Num)*12/Num_Pmt_Per_Year,DAY(Loan_Start)),"")</f>
        <v>48122</v>
      </c>
      <c r="C107" s="70">
        <f>IF(Pay_Num&lt;&gt;"",I106,"")</f>
        <v>0</v>
      </c>
      <c r="D107" s="70">
        <f>IF(Pay_Num&lt;&gt;"",Scheduled_Monthly_Payment,"")</f>
        <v>2418.3976845093252</v>
      </c>
      <c r="E107" s="71">
        <f>IF(AND(Pay_Num&lt;&gt;"",Sched_Pay+Scheduled_Extra_Payments&lt;Beg_Bal),Scheduled_Extra_Payments,IF(AND(Pay_Num&lt;&gt;"",Beg_Bal-Sched_Pay&gt;0),Beg_Bal-Sched_Pay,IF(Pay_Num&lt;&gt;"",0,"")))</f>
        <v>0</v>
      </c>
      <c r="F107" s="70">
        <f>IF(AND(Pay_Num&lt;&gt;"",Sched_Pay+Extra_Pay&lt;Beg_Bal),Sched_Pay+Extra_Pay,IF(Pay_Num&lt;&gt;"",Beg_Bal,""))</f>
        <v>0</v>
      </c>
      <c r="G107" s="70">
        <f>IF(Pay_Num&lt;&gt;"",Total_Pay-Int,"")</f>
        <v>0</v>
      </c>
      <c r="H107" s="70">
        <f>IF(Pay_Num&lt;&gt;"",Beg_Bal*Interest_Rate/Num_Pmt_Per_Year,"")</f>
        <v>0</v>
      </c>
      <c r="I107" s="70">
        <f>IF(AND(Pay_Num&lt;&gt;"",Sched_Pay+Extra_Pay&lt;Beg_Bal),Beg_Bal-Princ,IF(Pay_Num&lt;&gt;"",0,""))</f>
        <v>0</v>
      </c>
      <c r="J107" s="70">
        <f>SUM($H$18:$H107)</f>
        <v>8041.5444282238004</v>
      </c>
    </row>
    <row r="108" spans="1:10" x14ac:dyDescent="0.3">
      <c r="A108" s="36">
        <f>IF(Values_Entered,A107+1,"")</f>
        <v>91</v>
      </c>
      <c r="B108" s="35">
        <f>IF(Pay_Num&lt;&gt;"",DATE(YEAR(Loan_Start),MONTH(Loan_Start)+(Pay_Num)*12/Num_Pmt_Per_Year,DAY(Loan_Start)),"")</f>
        <v>48153</v>
      </c>
      <c r="C108" s="70">
        <f>IF(Pay_Num&lt;&gt;"",I107,"")</f>
        <v>0</v>
      </c>
      <c r="D108" s="70">
        <f>IF(Pay_Num&lt;&gt;"",Scheduled_Monthly_Payment,"")</f>
        <v>2418.3976845093252</v>
      </c>
      <c r="E108" s="71">
        <f>IF(AND(Pay_Num&lt;&gt;"",Sched_Pay+Scheduled_Extra_Payments&lt;Beg_Bal),Scheduled_Extra_Payments,IF(AND(Pay_Num&lt;&gt;"",Beg_Bal-Sched_Pay&gt;0),Beg_Bal-Sched_Pay,IF(Pay_Num&lt;&gt;"",0,"")))</f>
        <v>0</v>
      </c>
      <c r="F108" s="70">
        <f>IF(AND(Pay_Num&lt;&gt;"",Sched_Pay+Extra_Pay&lt;Beg_Bal),Sched_Pay+Extra_Pay,IF(Pay_Num&lt;&gt;"",Beg_Bal,""))</f>
        <v>0</v>
      </c>
      <c r="G108" s="70">
        <f>IF(Pay_Num&lt;&gt;"",Total_Pay-Int,"")</f>
        <v>0</v>
      </c>
      <c r="H108" s="70">
        <f>IF(Pay_Num&lt;&gt;"",Beg_Bal*Interest_Rate/Num_Pmt_Per_Year,"")</f>
        <v>0</v>
      </c>
      <c r="I108" s="70">
        <f>IF(AND(Pay_Num&lt;&gt;"",Sched_Pay+Extra_Pay&lt;Beg_Bal),Beg_Bal-Princ,IF(Pay_Num&lt;&gt;"",0,""))</f>
        <v>0</v>
      </c>
      <c r="J108" s="70">
        <f>SUM($H$18:$H108)</f>
        <v>8041.5444282238004</v>
      </c>
    </row>
    <row r="109" spans="1:10" x14ac:dyDescent="0.3">
      <c r="A109" s="36">
        <f>IF(Values_Entered,A108+1,"")</f>
        <v>92</v>
      </c>
      <c r="B109" s="35">
        <f>IF(Pay_Num&lt;&gt;"",DATE(YEAR(Loan_Start),MONTH(Loan_Start)+(Pay_Num)*12/Num_Pmt_Per_Year,DAY(Loan_Start)),"")</f>
        <v>48183</v>
      </c>
      <c r="C109" s="70">
        <f>IF(Pay_Num&lt;&gt;"",I108,"")</f>
        <v>0</v>
      </c>
      <c r="D109" s="70">
        <f>IF(Pay_Num&lt;&gt;"",Scheduled_Monthly_Payment,"")</f>
        <v>2418.3976845093252</v>
      </c>
      <c r="E109" s="71">
        <f>IF(AND(Pay_Num&lt;&gt;"",Sched_Pay+Scheduled_Extra_Payments&lt;Beg_Bal),Scheduled_Extra_Payments,IF(AND(Pay_Num&lt;&gt;"",Beg_Bal-Sched_Pay&gt;0),Beg_Bal-Sched_Pay,IF(Pay_Num&lt;&gt;"",0,"")))</f>
        <v>0</v>
      </c>
      <c r="F109" s="70">
        <f>IF(AND(Pay_Num&lt;&gt;"",Sched_Pay+Extra_Pay&lt;Beg_Bal),Sched_Pay+Extra_Pay,IF(Pay_Num&lt;&gt;"",Beg_Bal,""))</f>
        <v>0</v>
      </c>
      <c r="G109" s="70">
        <f>IF(Pay_Num&lt;&gt;"",Total_Pay-Int,"")</f>
        <v>0</v>
      </c>
      <c r="H109" s="70">
        <f>IF(Pay_Num&lt;&gt;"",Beg_Bal*Interest_Rate/Num_Pmt_Per_Year,"")</f>
        <v>0</v>
      </c>
      <c r="I109" s="70">
        <f>IF(AND(Pay_Num&lt;&gt;"",Sched_Pay+Extra_Pay&lt;Beg_Bal),Beg_Bal-Princ,IF(Pay_Num&lt;&gt;"",0,""))</f>
        <v>0</v>
      </c>
      <c r="J109" s="70">
        <f>SUM($H$18:$H109)</f>
        <v>8041.5444282238004</v>
      </c>
    </row>
    <row r="110" spans="1:10" x14ac:dyDescent="0.3">
      <c r="A110" s="36">
        <f>IF(Values_Entered,A109+1,"")</f>
        <v>93</v>
      </c>
      <c r="B110" s="35">
        <f>IF(Pay_Num&lt;&gt;"",DATE(YEAR(Loan_Start),MONTH(Loan_Start)+(Pay_Num)*12/Num_Pmt_Per_Year,DAY(Loan_Start)),"")</f>
        <v>48214</v>
      </c>
      <c r="C110" s="70">
        <f>IF(Pay_Num&lt;&gt;"",I109,"")</f>
        <v>0</v>
      </c>
      <c r="D110" s="70">
        <f>IF(Pay_Num&lt;&gt;"",Scheduled_Monthly_Payment,"")</f>
        <v>2418.3976845093252</v>
      </c>
      <c r="E110" s="71">
        <f>IF(AND(Pay_Num&lt;&gt;"",Sched_Pay+Scheduled_Extra_Payments&lt;Beg_Bal),Scheduled_Extra_Payments,IF(AND(Pay_Num&lt;&gt;"",Beg_Bal-Sched_Pay&gt;0),Beg_Bal-Sched_Pay,IF(Pay_Num&lt;&gt;"",0,"")))</f>
        <v>0</v>
      </c>
      <c r="F110" s="70">
        <f>IF(AND(Pay_Num&lt;&gt;"",Sched_Pay+Extra_Pay&lt;Beg_Bal),Sched_Pay+Extra_Pay,IF(Pay_Num&lt;&gt;"",Beg_Bal,""))</f>
        <v>0</v>
      </c>
      <c r="G110" s="70">
        <f>IF(Pay_Num&lt;&gt;"",Total_Pay-Int,"")</f>
        <v>0</v>
      </c>
      <c r="H110" s="70">
        <f>IF(Pay_Num&lt;&gt;"",Beg_Bal*Interest_Rate/Num_Pmt_Per_Year,"")</f>
        <v>0</v>
      </c>
      <c r="I110" s="70">
        <f>IF(AND(Pay_Num&lt;&gt;"",Sched_Pay+Extra_Pay&lt;Beg_Bal),Beg_Bal-Princ,IF(Pay_Num&lt;&gt;"",0,""))</f>
        <v>0</v>
      </c>
      <c r="J110" s="70">
        <f>SUM($H$18:$H110)</f>
        <v>8041.5444282238004</v>
      </c>
    </row>
    <row r="111" spans="1:10" x14ac:dyDescent="0.3">
      <c r="A111" s="36">
        <f>IF(Values_Entered,A110+1,"")</f>
        <v>94</v>
      </c>
      <c r="B111" s="35">
        <f>IF(Pay_Num&lt;&gt;"",DATE(YEAR(Loan_Start),MONTH(Loan_Start)+(Pay_Num)*12/Num_Pmt_Per_Year,DAY(Loan_Start)),"")</f>
        <v>48245</v>
      </c>
      <c r="C111" s="70">
        <f>IF(Pay_Num&lt;&gt;"",I110,"")</f>
        <v>0</v>
      </c>
      <c r="D111" s="70">
        <f>IF(Pay_Num&lt;&gt;"",Scheduled_Monthly_Payment,"")</f>
        <v>2418.3976845093252</v>
      </c>
      <c r="E111" s="71">
        <f>IF(AND(Pay_Num&lt;&gt;"",Sched_Pay+Scheduled_Extra_Payments&lt;Beg_Bal),Scheduled_Extra_Payments,IF(AND(Pay_Num&lt;&gt;"",Beg_Bal-Sched_Pay&gt;0),Beg_Bal-Sched_Pay,IF(Pay_Num&lt;&gt;"",0,"")))</f>
        <v>0</v>
      </c>
      <c r="F111" s="70">
        <f>IF(AND(Pay_Num&lt;&gt;"",Sched_Pay+Extra_Pay&lt;Beg_Bal),Sched_Pay+Extra_Pay,IF(Pay_Num&lt;&gt;"",Beg_Bal,""))</f>
        <v>0</v>
      </c>
      <c r="G111" s="70">
        <f>IF(Pay_Num&lt;&gt;"",Total_Pay-Int,"")</f>
        <v>0</v>
      </c>
      <c r="H111" s="70">
        <f>IF(Pay_Num&lt;&gt;"",Beg_Bal*Interest_Rate/Num_Pmt_Per_Year,"")</f>
        <v>0</v>
      </c>
      <c r="I111" s="70">
        <f>IF(AND(Pay_Num&lt;&gt;"",Sched_Pay+Extra_Pay&lt;Beg_Bal),Beg_Bal-Princ,IF(Pay_Num&lt;&gt;"",0,""))</f>
        <v>0</v>
      </c>
      <c r="J111" s="70">
        <f>SUM($H$18:$H111)</f>
        <v>8041.5444282238004</v>
      </c>
    </row>
    <row r="112" spans="1:10" x14ac:dyDescent="0.3">
      <c r="A112" s="36">
        <f>IF(Values_Entered,A111+1,"")</f>
        <v>95</v>
      </c>
      <c r="B112" s="35">
        <f>IF(Pay_Num&lt;&gt;"",DATE(YEAR(Loan_Start),MONTH(Loan_Start)+(Pay_Num)*12/Num_Pmt_Per_Year,DAY(Loan_Start)),"")</f>
        <v>48274</v>
      </c>
      <c r="C112" s="70">
        <f>IF(Pay_Num&lt;&gt;"",I111,"")</f>
        <v>0</v>
      </c>
      <c r="D112" s="70">
        <f>IF(Pay_Num&lt;&gt;"",Scheduled_Monthly_Payment,"")</f>
        <v>2418.3976845093252</v>
      </c>
      <c r="E112" s="71">
        <f>IF(AND(Pay_Num&lt;&gt;"",Sched_Pay+Scheduled_Extra_Payments&lt;Beg_Bal),Scheduled_Extra_Payments,IF(AND(Pay_Num&lt;&gt;"",Beg_Bal-Sched_Pay&gt;0),Beg_Bal-Sched_Pay,IF(Pay_Num&lt;&gt;"",0,"")))</f>
        <v>0</v>
      </c>
      <c r="F112" s="70">
        <f>IF(AND(Pay_Num&lt;&gt;"",Sched_Pay+Extra_Pay&lt;Beg_Bal),Sched_Pay+Extra_Pay,IF(Pay_Num&lt;&gt;"",Beg_Bal,""))</f>
        <v>0</v>
      </c>
      <c r="G112" s="70">
        <f>IF(Pay_Num&lt;&gt;"",Total_Pay-Int,"")</f>
        <v>0</v>
      </c>
      <c r="H112" s="70">
        <f>IF(Pay_Num&lt;&gt;"",Beg_Bal*Interest_Rate/Num_Pmt_Per_Year,"")</f>
        <v>0</v>
      </c>
      <c r="I112" s="70">
        <f>IF(AND(Pay_Num&lt;&gt;"",Sched_Pay+Extra_Pay&lt;Beg_Bal),Beg_Bal-Princ,IF(Pay_Num&lt;&gt;"",0,""))</f>
        <v>0</v>
      </c>
      <c r="J112" s="70">
        <f>SUM($H$18:$H112)</f>
        <v>8041.5444282238004</v>
      </c>
    </row>
    <row r="113" spans="1:10" x14ac:dyDescent="0.3">
      <c r="A113" s="36">
        <f>IF(Values_Entered,A112+1,"")</f>
        <v>96</v>
      </c>
      <c r="B113" s="35">
        <f>IF(Pay_Num&lt;&gt;"",DATE(YEAR(Loan_Start),MONTH(Loan_Start)+(Pay_Num)*12/Num_Pmt_Per_Year,DAY(Loan_Start)),"")</f>
        <v>48305</v>
      </c>
      <c r="C113" s="70">
        <f>IF(Pay_Num&lt;&gt;"",I112,"")</f>
        <v>0</v>
      </c>
      <c r="D113" s="70">
        <f>IF(Pay_Num&lt;&gt;"",Scheduled_Monthly_Payment,"")</f>
        <v>2418.3976845093252</v>
      </c>
      <c r="E113" s="71">
        <f>IF(AND(Pay_Num&lt;&gt;"",Sched_Pay+Scheduled_Extra_Payments&lt;Beg_Bal),Scheduled_Extra_Payments,IF(AND(Pay_Num&lt;&gt;"",Beg_Bal-Sched_Pay&gt;0),Beg_Bal-Sched_Pay,IF(Pay_Num&lt;&gt;"",0,"")))</f>
        <v>0</v>
      </c>
      <c r="F113" s="70">
        <f>IF(AND(Pay_Num&lt;&gt;"",Sched_Pay+Extra_Pay&lt;Beg_Bal),Sched_Pay+Extra_Pay,IF(Pay_Num&lt;&gt;"",Beg_Bal,""))</f>
        <v>0</v>
      </c>
      <c r="G113" s="70">
        <f>IF(Pay_Num&lt;&gt;"",Total_Pay-Int,"")</f>
        <v>0</v>
      </c>
      <c r="H113" s="70">
        <f>IF(Pay_Num&lt;&gt;"",Beg_Bal*Interest_Rate/Num_Pmt_Per_Year,"")</f>
        <v>0</v>
      </c>
      <c r="I113" s="70">
        <f>IF(AND(Pay_Num&lt;&gt;"",Sched_Pay+Extra_Pay&lt;Beg_Bal),Beg_Bal-Princ,IF(Pay_Num&lt;&gt;"",0,""))</f>
        <v>0</v>
      </c>
      <c r="J113" s="70">
        <f>SUM($H$18:$H113)</f>
        <v>8041.5444282238004</v>
      </c>
    </row>
    <row r="114" spans="1:10" x14ac:dyDescent="0.3">
      <c r="A114" s="36">
        <f>IF(Values_Entered,A113+1,"")</f>
        <v>97</v>
      </c>
      <c r="B114" s="35">
        <f>IF(Pay_Num&lt;&gt;"",DATE(YEAR(Loan_Start),MONTH(Loan_Start)+(Pay_Num)*12/Num_Pmt_Per_Year,DAY(Loan_Start)),"")</f>
        <v>48335</v>
      </c>
      <c r="C114" s="70">
        <f>IF(Pay_Num&lt;&gt;"",I113,"")</f>
        <v>0</v>
      </c>
      <c r="D114" s="70">
        <f>IF(Pay_Num&lt;&gt;"",Scheduled_Monthly_Payment,"")</f>
        <v>2418.3976845093252</v>
      </c>
      <c r="E114" s="71">
        <f>IF(AND(Pay_Num&lt;&gt;"",Sched_Pay+Scheduled_Extra_Payments&lt;Beg_Bal),Scheduled_Extra_Payments,IF(AND(Pay_Num&lt;&gt;"",Beg_Bal-Sched_Pay&gt;0),Beg_Bal-Sched_Pay,IF(Pay_Num&lt;&gt;"",0,"")))</f>
        <v>0</v>
      </c>
      <c r="F114" s="70">
        <f>IF(AND(Pay_Num&lt;&gt;"",Sched_Pay+Extra_Pay&lt;Beg_Bal),Sched_Pay+Extra_Pay,IF(Pay_Num&lt;&gt;"",Beg_Bal,""))</f>
        <v>0</v>
      </c>
      <c r="G114" s="70">
        <f>IF(Pay_Num&lt;&gt;"",Total_Pay-Int,"")</f>
        <v>0</v>
      </c>
      <c r="H114" s="70">
        <f>IF(Pay_Num&lt;&gt;"",Beg_Bal*Interest_Rate/Num_Pmt_Per_Year,"")</f>
        <v>0</v>
      </c>
      <c r="I114" s="70">
        <f>IF(AND(Pay_Num&lt;&gt;"",Sched_Pay+Extra_Pay&lt;Beg_Bal),Beg_Bal-Princ,IF(Pay_Num&lt;&gt;"",0,""))</f>
        <v>0</v>
      </c>
      <c r="J114" s="70">
        <f>SUM($H$18:$H114)</f>
        <v>8041.5444282238004</v>
      </c>
    </row>
    <row r="115" spans="1:10" x14ac:dyDescent="0.3">
      <c r="A115" s="36">
        <f>IF(Values_Entered,A114+1,"")</f>
        <v>98</v>
      </c>
      <c r="B115" s="35">
        <f>IF(Pay_Num&lt;&gt;"",DATE(YEAR(Loan_Start),MONTH(Loan_Start)+(Pay_Num)*12/Num_Pmt_Per_Year,DAY(Loan_Start)),"")</f>
        <v>48366</v>
      </c>
      <c r="C115" s="70">
        <f>IF(Pay_Num&lt;&gt;"",I114,"")</f>
        <v>0</v>
      </c>
      <c r="D115" s="70">
        <f>IF(Pay_Num&lt;&gt;"",Scheduled_Monthly_Payment,"")</f>
        <v>2418.3976845093252</v>
      </c>
      <c r="E115" s="71">
        <f>IF(AND(Pay_Num&lt;&gt;"",Sched_Pay+Scheduled_Extra_Payments&lt;Beg_Bal),Scheduled_Extra_Payments,IF(AND(Pay_Num&lt;&gt;"",Beg_Bal-Sched_Pay&gt;0),Beg_Bal-Sched_Pay,IF(Pay_Num&lt;&gt;"",0,"")))</f>
        <v>0</v>
      </c>
      <c r="F115" s="70">
        <f>IF(AND(Pay_Num&lt;&gt;"",Sched_Pay+Extra_Pay&lt;Beg_Bal),Sched_Pay+Extra_Pay,IF(Pay_Num&lt;&gt;"",Beg_Bal,""))</f>
        <v>0</v>
      </c>
      <c r="G115" s="70">
        <f>IF(Pay_Num&lt;&gt;"",Total_Pay-Int,"")</f>
        <v>0</v>
      </c>
      <c r="H115" s="70">
        <f>IF(Pay_Num&lt;&gt;"",Beg_Bal*Interest_Rate/Num_Pmt_Per_Year,"")</f>
        <v>0</v>
      </c>
      <c r="I115" s="70">
        <f>IF(AND(Pay_Num&lt;&gt;"",Sched_Pay+Extra_Pay&lt;Beg_Bal),Beg_Bal-Princ,IF(Pay_Num&lt;&gt;"",0,""))</f>
        <v>0</v>
      </c>
      <c r="J115" s="70">
        <f>SUM($H$18:$H115)</f>
        <v>8041.5444282238004</v>
      </c>
    </row>
    <row r="116" spans="1:10" x14ac:dyDescent="0.3">
      <c r="A116" s="36">
        <f>IF(Values_Entered,A115+1,"")</f>
        <v>99</v>
      </c>
      <c r="B116" s="35">
        <f>IF(Pay_Num&lt;&gt;"",DATE(YEAR(Loan_Start),MONTH(Loan_Start)+(Pay_Num)*12/Num_Pmt_Per_Year,DAY(Loan_Start)),"")</f>
        <v>48396</v>
      </c>
      <c r="C116" s="70">
        <f>IF(Pay_Num&lt;&gt;"",I115,"")</f>
        <v>0</v>
      </c>
      <c r="D116" s="70">
        <f>IF(Pay_Num&lt;&gt;"",Scheduled_Monthly_Payment,"")</f>
        <v>2418.3976845093252</v>
      </c>
      <c r="E116" s="71">
        <f>IF(AND(Pay_Num&lt;&gt;"",Sched_Pay+Scheduled_Extra_Payments&lt;Beg_Bal),Scheduled_Extra_Payments,IF(AND(Pay_Num&lt;&gt;"",Beg_Bal-Sched_Pay&gt;0),Beg_Bal-Sched_Pay,IF(Pay_Num&lt;&gt;"",0,"")))</f>
        <v>0</v>
      </c>
      <c r="F116" s="70">
        <f>IF(AND(Pay_Num&lt;&gt;"",Sched_Pay+Extra_Pay&lt;Beg_Bal),Sched_Pay+Extra_Pay,IF(Pay_Num&lt;&gt;"",Beg_Bal,""))</f>
        <v>0</v>
      </c>
      <c r="G116" s="70">
        <f>IF(Pay_Num&lt;&gt;"",Total_Pay-Int,"")</f>
        <v>0</v>
      </c>
      <c r="H116" s="70">
        <f>IF(Pay_Num&lt;&gt;"",Beg_Bal*Interest_Rate/Num_Pmt_Per_Year,"")</f>
        <v>0</v>
      </c>
      <c r="I116" s="70">
        <f>IF(AND(Pay_Num&lt;&gt;"",Sched_Pay+Extra_Pay&lt;Beg_Bal),Beg_Bal-Princ,IF(Pay_Num&lt;&gt;"",0,""))</f>
        <v>0</v>
      </c>
      <c r="J116" s="70">
        <f>SUM($H$18:$H116)</f>
        <v>8041.5444282238004</v>
      </c>
    </row>
    <row r="117" spans="1:10" x14ac:dyDescent="0.3">
      <c r="A117" s="36">
        <f>IF(Values_Entered,A116+1,"")</f>
        <v>100</v>
      </c>
      <c r="B117" s="35">
        <f>IF(Pay_Num&lt;&gt;"",DATE(YEAR(Loan_Start),MONTH(Loan_Start)+(Pay_Num)*12/Num_Pmt_Per_Year,DAY(Loan_Start)),"")</f>
        <v>48427</v>
      </c>
      <c r="C117" s="70">
        <f>IF(Pay_Num&lt;&gt;"",I116,"")</f>
        <v>0</v>
      </c>
      <c r="D117" s="70">
        <f>IF(Pay_Num&lt;&gt;"",Scheduled_Monthly_Payment,"")</f>
        <v>2418.3976845093252</v>
      </c>
      <c r="E117" s="71">
        <f>IF(AND(Pay_Num&lt;&gt;"",Sched_Pay+Scheduled_Extra_Payments&lt;Beg_Bal),Scheduled_Extra_Payments,IF(AND(Pay_Num&lt;&gt;"",Beg_Bal-Sched_Pay&gt;0),Beg_Bal-Sched_Pay,IF(Pay_Num&lt;&gt;"",0,"")))</f>
        <v>0</v>
      </c>
      <c r="F117" s="70">
        <f>IF(AND(Pay_Num&lt;&gt;"",Sched_Pay+Extra_Pay&lt;Beg_Bal),Sched_Pay+Extra_Pay,IF(Pay_Num&lt;&gt;"",Beg_Bal,""))</f>
        <v>0</v>
      </c>
      <c r="G117" s="70">
        <f>IF(Pay_Num&lt;&gt;"",Total_Pay-Int,"")</f>
        <v>0</v>
      </c>
      <c r="H117" s="70">
        <f>IF(Pay_Num&lt;&gt;"",Beg_Bal*Interest_Rate/Num_Pmt_Per_Year,"")</f>
        <v>0</v>
      </c>
      <c r="I117" s="70">
        <f>IF(AND(Pay_Num&lt;&gt;"",Sched_Pay+Extra_Pay&lt;Beg_Bal),Beg_Bal-Princ,IF(Pay_Num&lt;&gt;"",0,""))</f>
        <v>0</v>
      </c>
      <c r="J117" s="70">
        <f>SUM($H$18:$H117)</f>
        <v>8041.5444282238004</v>
      </c>
    </row>
    <row r="118" spans="1:10" x14ac:dyDescent="0.3">
      <c r="A118" s="36">
        <f>IF(Values_Entered,A117+1,"")</f>
        <v>101</v>
      </c>
      <c r="B118" s="35">
        <f>IF(Pay_Num&lt;&gt;"",DATE(YEAR(Loan_Start),MONTH(Loan_Start)+(Pay_Num)*12/Num_Pmt_Per_Year,DAY(Loan_Start)),"")</f>
        <v>48458</v>
      </c>
      <c r="C118" s="70">
        <f>IF(Pay_Num&lt;&gt;"",I117,"")</f>
        <v>0</v>
      </c>
      <c r="D118" s="70">
        <f>IF(Pay_Num&lt;&gt;"",Scheduled_Monthly_Payment,"")</f>
        <v>2418.3976845093252</v>
      </c>
      <c r="E118" s="71">
        <f>IF(AND(Pay_Num&lt;&gt;"",Sched_Pay+Scheduled_Extra_Payments&lt;Beg_Bal),Scheduled_Extra_Payments,IF(AND(Pay_Num&lt;&gt;"",Beg_Bal-Sched_Pay&gt;0),Beg_Bal-Sched_Pay,IF(Pay_Num&lt;&gt;"",0,"")))</f>
        <v>0</v>
      </c>
      <c r="F118" s="70">
        <f>IF(AND(Pay_Num&lt;&gt;"",Sched_Pay+Extra_Pay&lt;Beg_Bal),Sched_Pay+Extra_Pay,IF(Pay_Num&lt;&gt;"",Beg_Bal,""))</f>
        <v>0</v>
      </c>
      <c r="G118" s="70">
        <f>IF(Pay_Num&lt;&gt;"",Total_Pay-Int,"")</f>
        <v>0</v>
      </c>
      <c r="H118" s="70">
        <f>IF(Pay_Num&lt;&gt;"",Beg_Bal*Interest_Rate/Num_Pmt_Per_Year,"")</f>
        <v>0</v>
      </c>
      <c r="I118" s="70">
        <f>IF(AND(Pay_Num&lt;&gt;"",Sched_Pay+Extra_Pay&lt;Beg_Bal),Beg_Bal-Princ,IF(Pay_Num&lt;&gt;"",0,""))</f>
        <v>0</v>
      </c>
      <c r="J118" s="70">
        <f>SUM($H$18:$H118)</f>
        <v>8041.5444282238004</v>
      </c>
    </row>
    <row r="119" spans="1:10" x14ac:dyDescent="0.3">
      <c r="A119" s="36">
        <f>IF(Values_Entered,A118+1,"")</f>
        <v>102</v>
      </c>
      <c r="B119" s="35">
        <f>IF(Pay_Num&lt;&gt;"",DATE(YEAR(Loan_Start),MONTH(Loan_Start)+(Pay_Num)*12/Num_Pmt_Per_Year,DAY(Loan_Start)),"")</f>
        <v>48488</v>
      </c>
      <c r="C119" s="70">
        <f>IF(Pay_Num&lt;&gt;"",I118,"")</f>
        <v>0</v>
      </c>
      <c r="D119" s="70">
        <f>IF(Pay_Num&lt;&gt;"",Scheduled_Monthly_Payment,"")</f>
        <v>2418.3976845093252</v>
      </c>
      <c r="E119" s="71">
        <f>IF(AND(Pay_Num&lt;&gt;"",Sched_Pay+Scheduled_Extra_Payments&lt;Beg_Bal),Scheduled_Extra_Payments,IF(AND(Pay_Num&lt;&gt;"",Beg_Bal-Sched_Pay&gt;0),Beg_Bal-Sched_Pay,IF(Pay_Num&lt;&gt;"",0,"")))</f>
        <v>0</v>
      </c>
      <c r="F119" s="70">
        <f>IF(AND(Pay_Num&lt;&gt;"",Sched_Pay+Extra_Pay&lt;Beg_Bal),Sched_Pay+Extra_Pay,IF(Pay_Num&lt;&gt;"",Beg_Bal,""))</f>
        <v>0</v>
      </c>
      <c r="G119" s="70">
        <f>IF(Pay_Num&lt;&gt;"",Total_Pay-Int,"")</f>
        <v>0</v>
      </c>
      <c r="H119" s="70">
        <f>IF(Pay_Num&lt;&gt;"",Beg_Bal*Interest_Rate/Num_Pmt_Per_Year,"")</f>
        <v>0</v>
      </c>
      <c r="I119" s="70">
        <f>IF(AND(Pay_Num&lt;&gt;"",Sched_Pay+Extra_Pay&lt;Beg_Bal),Beg_Bal-Princ,IF(Pay_Num&lt;&gt;"",0,""))</f>
        <v>0</v>
      </c>
      <c r="J119" s="70">
        <f>SUM($H$18:$H119)</f>
        <v>8041.5444282238004</v>
      </c>
    </row>
    <row r="120" spans="1:10" x14ac:dyDescent="0.3">
      <c r="A120" s="36">
        <f>IF(Values_Entered,A119+1,"")</f>
        <v>103</v>
      </c>
      <c r="B120" s="35">
        <f>IF(Pay_Num&lt;&gt;"",DATE(YEAR(Loan_Start),MONTH(Loan_Start)+(Pay_Num)*12/Num_Pmt_Per_Year,DAY(Loan_Start)),"")</f>
        <v>48519</v>
      </c>
      <c r="C120" s="70">
        <f>IF(Pay_Num&lt;&gt;"",I119,"")</f>
        <v>0</v>
      </c>
      <c r="D120" s="70">
        <f>IF(Pay_Num&lt;&gt;"",Scheduled_Monthly_Payment,"")</f>
        <v>2418.3976845093252</v>
      </c>
      <c r="E120" s="71">
        <f>IF(AND(Pay_Num&lt;&gt;"",Sched_Pay+Scheduled_Extra_Payments&lt;Beg_Bal),Scheduled_Extra_Payments,IF(AND(Pay_Num&lt;&gt;"",Beg_Bal-Sched_Pay&gt;0),Beg_Bal-Sched_Pay,IF(Pay_Num&lt;&gt;"",0,"")))</f>
        <v>0</v>
      </c>
      <c r="F120" s="70">
        <f>IF(AND(Pay_Num&lt;&gt;"",Sched_Pay+Extra_Pay&lt;Beg_Bal),Sched_Pay+Extra_Pay,IF(Pay_Num&lt;&gt;"",Beg_Bal,""))</f>
        <v>0</v>
      </c>
      <c r="G120" s="70">
        <f>IF(Pay_Num&lt;&gt;"",Total_Pay-Int,"")</f>
        <v>0</v>
      </c>
      <c r="H120" s="70">
        <f>IF(Pay_Num&lt;&gt;"",Beg_Bal*Interest_Rate/Num_Pmt_Per_Year,"")</f>
        <v>0</v>
      </c>
      <c r="I120" s="70">
        <f>IF(AND(Pay_Num&lt;&gt;"",Sched_Pay+Extra_Pay&lt;Beg_Bal),Beg_Bal-Princ,IF(Pay_Num&lt;&gt;"",0,""))</f>
        <v>0</v>
      </c>
      <c r="J120" s="70">
        <f>SUM($H$18:$H120)</f>
        <v>8041.5444282238004</v>
      </c>
    </row>
    <row r="121" spans="1:10" x14ac:dyDescent="0.3">
      <c r="A121" s="36">
        <f>IF(Values_Entered,A120+1,"")</f>
        <v>104</v>
      </c>
      <c r="B121" s="35">
        <f>IF(Pay_Num&lt;&gt;"",DATE(YEAR(Loan_Start),MONTH(Loan_Start)+(Pay_Num)*12/Num_Pmt_Per_Year,DAY(Loan_Start)),"")</f>
        <v>48549</v>
      </c>
      <c r="C121" s="70">
        <f>IF(Pay_Num&lt;&gt;"",I120,"")</f>
        <v>0</v>
      </c>
      <c r="D121" s="70">
        <f>IF(Pay_Num&lt;&gt;"",Scheduled_Monthly_Payment,"")</f>
        <v>2418.3976845093252</v>
      </c>
      <c r="E121" s="71">
        <f>IF(AND(Pay_Num&lt;&gt;"",Sched_Pay+Scheduled_Extra_Payments&lt;Beg_Bal),Scheduled_Extra_Payments,IF(AND(Pay_Num&lt;&gt;"",Beg_Bal-Sched_Pay&gt;0),Beg_Bal-Sched_Pay,IF(Pay_Num&lt;&gt;"",0,"")))</f>
        <v>0</v>
      </c>
      <c r="F121" s="70">
        <f>IF(AND(Pay_Num&lt;&gt;"",Sched_Pay+Extra_Pay&lt;Beg_Bal),Sched_Pay+Extra_Pay,IF(Pay_Num&lt;&gt;"",Beg_Bal,""))</f>
        <v>0</v>
      </c>
      <c r="G121" s="70">
        <f>IF(Pay_Num&lt;&gt;"",Total_Pay-Int,"")</f>
        <v>0</v>
      </c>
      <c r="H121" s="70">
        <f>IF(Pay_Num&lt;&gt;"",Beg_Bal*Interest_Rate/Num_Pmt_Per_Year,"")</f>
        <v>0</v>
      </c>
      <c r="I121" s="70">
        <f>IF(AND(Pay_Num&lt;&gt;"",Sched_Pay+Extra_Pay&lt;Beg_Bal),Beg_Bal-Princ,IF(Pay_Num&lt;&gt;"",0,""))</f>
        <v>0</v>
      </c>
      <c r="J121" s="70">
        <f>SUM($H$18:$H121)</f>
        <v>8041.5444282238004</v>
      </c>
    </row>
    <row r="122" spans="1:10" x14ac:dyDescent="0.3">
      <c r="A122" s="36">
        <f>IF(Values_Entered,A121+1,"")</f>
        <v>105</v>
      </c>
      <c r="B122" s="35">
        <f>IF(Pay_Num&lt;&gt;"",DATE(YEAR(Loan_Start),MONTH(Loan_Start)+(Pay_Num)*12/Num_Pmt_Per_Year,DAY(Loan_Start)),"")</f>
        <v>48580</v>
      </c>
      <c r="C122" s="70">
        <f>IF(Pay_Num&lt;&gt;"",I121,"")</f>
        <v>0</v>
      </c>
      <c r="D122" s="70">
        <f>IF(Pay_Num&lt;&gt;"",Scheduled_Monthly_Payment,"")</f>
        <v>2418.3976845093252</v>
      </c>
      <c r="E122" s="71">
        <f>IF(AND(Pay_Num&lt;&gt;"",Sched_Pay+Scheduled_Extra_Payments&lt;Beg_Bal),Scheduled_Extra_Payments,IF(AND(Pay_Num&lt;&gt;"",Beg_Bal-Sched_Pay&gt;0),Beg_Bal-Sched_Pay,IF(Pay_Num&lt;&gt;"",0,"")))</f>
        <v>0</v>
      </c>
      <c r="F122" s="70">
        <f>IF(AND(Pay_Num&lt;&gt;"",Sched_Pay+Extra_Pay&lt;Beg_Bal),Sched_Pay+Extra_Pay,IF(Pay_Num&lt;&gt;"",Beg_Bal,""))</f>
        <v>0</v>
      </c>
      <c r="G122" s="70">
        <f>IF(Pay_Num&lt;&gt;"",Total_Pay-Int,"")</f>
        <v>0</v>
      </c>
      <c r="H122" s="70">
        <f>IF(Pay_Num&lt;&gt;"",Beg_Bal*Interest_Rate/Num_Pmt_Per_Year,"")</f>
        <v>0</v>
      </c>
      <c r="I122" s="70">
        <f>IF(AND(Pay_Num&lt;&gt;"",Sched_Pay+Extra_Pay&lt;Beg_Bal),Beg_Bal-Princ,IF(Pay_Num&lt;&gt;"",0,""))</f>
        <v>0</v>
      </c>
      <c r="J122" s="70">
        <f>SUM($H$18:$H122)</f>
        <v>8041.5444282238004</v>
      </c>
    </row>
    <row r="123" spans="1:10" x14ac:dyDescent="0.3">
      <c r="A123" s="36">
        <f>IF(Values_Entered,A122+1,"")</f>
        <v>106</v>
      </c>
      <c r="B123" s="35">
        <f>IF(Pay_Num&lt;&gt;"",DATE(YEAR(Loan_Start),MONTH(Loan_Start)+(Pay_Num)*12/Num_Pmt_Per_Year,DAY(Loan_Start)),"")</f>
        <v>48611</v>
      </c>
      <c r="C123" s="70">
        <f>IF(Pay_Num&lt;&gt;"",I122,"")</f>
        <v>0</v>
      </c>
      <c r="D123" s="70">
        <f>IF(Pay_Num&lt;&gt;"",Scheduled_Monthly_Payment,"")</f>
        <v>2418.3976845093252</v>
      </c>
      <c r="E123" s="71">
        <f>IF(AND(Pay_Num&lt;&gt;"",Sched_Pay+Scheduled_Extra_Payments&lt;Beg_Bal),Scheduled_Extra_Payments,IF(AND(Pay_Num&lt;&gt;"",Beg_Bal-Sched_Pay&gt;0),Beg_Bal-Sched_Pay,IF(Pay_Num&lt;&gt;"",0,"")))</f>
        <v>0</v>
      </c>
      <c r="F123" s="70">
        <f>IF(AND(Pay_Num&lt;&gt;"",Sched_Pay+Extra_Pay&lt;Beg_Bal),Sched_Pay+Extra_Pay,IF(Pay_Num&lt;&gt;"",Beg_Bal,""))</f>
        <v>0</v>
      </c>
      <c r="G123" s="70">
        <f>IF(Pay_Num&lt;&gt;"",Total_Pay-Int,"")</f>
        <v>0</v>
      </c>
      <c r="H123" s="70">
        <f>IF(Pay_Num&lt;&gt;"",Beg_Bal*Interest_Rate/Num_Pmt_Per_Year,"")</f>
        <v>0</v>
      </c>
      <c r="I123" s="70">
        <f>IF(AND(Pay_Num&lt;&gt;"",Sched_Pay+Extra_Pay&lt;Beg_Bal),Beg_Bal-Princ,IF(Pay_Num&lt;&gt;"",0,""))</f>
        <v>0</v>
      </c>
      <c r="J123" s="70">
        <f>SUM($H$18:$H123)</f>
        <v>8041.5444282238004</v>
      </c>
    </row>
    <row r="124" spans="1:10" x14ac:dyDescent="0.3">
      <c r="A124" s="36">
        <f>IF(Values_Entered,A123+1,"")</f>
        <v>107</v>
      </c>
      <c r="B124" s="35">
        <f>IF(Pay_Num&lt;&gt;"",DATE(YEAR(Loan_Start),MONTH(Loan_Start)+(Pay_Num)*12/Num_Pmt_Per_Year,DAY(Loan_Start)),"")</f>
        <v>48639</v>
      </c>
      <c r="C124" s="70">
        <f>IF(Pay_Num&lt;&gt;"",I123,"")</f>
        <v>0</v>
      </c>
      <c r="D124" s="70">
        <f>IF(Pay_Num&lt;&gt;"",Scheduled_Monthly_Payment,"")</f>
        <v>2418.3976845093252</v>
      </c>
      <c r="E124" s="71">
        <f>IF(AND(Pay_Num&lt;&gt;"",Sched_Pay+Scheduled_Extra_Payments&lt;Beg_Bal),Scheduled_Extra_Payments,IF(AND(Pay_Num&lt;&gt;"",Beg_Bal-Sched_Pay&gt;0),Beg_Bal-Sched_Pay,IF(Pay_Num&lt;&gt;"",0,"")))</f>
        <v>0</v>
      </c>
      <c r="F124" s="70">
        <f>IF(AND(Pay_Num&lt;&gt;"",Sched_Pay+Extra_Pay&lt;Beg_Bal),Sched_Pay+Extra_Pay,IF(Pay_Num&lt;&gt;"",Beg_Bal,""))</f>
        <v>0</v>
      </c>
      <c r="G124" s="70">
        <f>IF(Pay_Num&lt;&gt;"",Total_Pay-Int,"")</f>
        <v>0</v>
      </c>
      <c r="H124" s="70">
        <f>IF(Pay_Num&lt;&gt;"",Beg_Bal*Interest_Rate/Num_Pmt_Per_Year,"")</f>
        <v>0</v>
      </c>
      <c r="I124" s="70">
        <f>IF(AND(Pay_Num&lt;&gt;"",Sched_Pay+Extra_Pay&lt;Beg_Bal),Beg_Bal-Princ,IF(Pay_Num&lt;&gt;"",0,""))</f>
        <v>0</v>
      </c>
      <c r="J124" s="70">
        <f>SUM($H$18:$H124)</f>
        <v>8041.5444282238004</v>
      </c>
    </row>
    <row r="125" spans="1:10" x14ac:dyDescent="0.3">
      <c r="A125" s="36">
        <f>IF(Values_Entered,A124+1,"")</f>
        <v>108</v>
      </c>
      <c r="B125" s="35">
        <f>IF(Pay_Num&lt;&gt;"",DATE(YEAR(Loan_Start),MONTH(Loan_Start)+(Pay_Num)*12/Num_Pmt_Per_Year,DAY(Loan_Start)),"")</f>
        <v>48670</v>
      </c>
      <c r="C125" s="70">
        <f>IF(Pay_Num&lt;&gt;"",I124,"")</f>
        <v>0</v>
      </c>
      <c r="D125" s="70">
        <f>IF(Pay_Num&lt;&gt;"",Scheduled_Monthly_Payment,"")</f>
        <v>2418.3976845093252</v>
      </c>
      <c r="E125" s="71">
        <f>IF(AND(Pay_Num&lt;&gt;"",Sched_Pay+Scheduled_Extra_Payments&lt;Beg_Bal),Scheduled_Extra_Payments,IF(AND(Pay_Num&lt;&gt;"",Beg_Bal-Sched_Pay&gt;0),Beg_Bal-Sched_Pay,IF(Pay_Num&lt;&gt;"",0,"")))</f>
        <v>0</v>
      </c>
      <c r="F125" s="70">
        <f>IF(AND(Pay_Num&lt;&gt;"",Sched_Pay+Extra_Pay&lt;Beg_Bal),Sched_Pay+Extra_Pay,IF(Pay_Num&lt;&gt;"",Beg_Bal,""))</f>
        <v>0</v>
      </c>
      <c r="G125" s="70">
        <f>IF(Pay_Num&lt;&gt;"",Total_Pay-Int,"")</f>
        <v>0</v>
      </c>
      <c r="H125" s="70">
        <f>IF(Pay_Num&lt;&gt;"",Beg_Bal*Interest_Rate/Num_Pmt_Per_Year,"")</f>
        <v>0</v>
      </c>
      <c r="I125" s="70">
        <f>IF(AND(Pay_Num&lt;&gt;"",Sched_Pay+Extra_Pay&lt;Beg_Bal),Beg_Bal-Princ,IF(Pay_Num&lt;&gt;"",0,""))</f>
        <v>0</v>
      </c>
      <c r="J125" s="70">
        <f>SUM($H$18:$H125)</f>
        <v>8041.5444282238004</v>
      </c>
    </row>
    <row r="126" spans="1:10" x14ac:dyDescent="0.3">
      <c r="A126" s="36">
        <f>IF(Values_Entered,A125+1,"")</f>
        <v>109</v>
      </c>
      <c r="B126" s="35">
        <f>IF(Pay_Num&lt;&gt;"",DATE(YEAR(Loan_Start),MONTH(Loan_Start)+(Pay_Num)*12/Num_Pmt_Per_Year,DAY(Loan_Start)),"")</f>
        <v>48700</v>
      </c>
      <c r="C126" s="70">
        <f>IF(Pay_Num&lt;&gt;"",I125,"")</f>
        <v>0</v>
      </c>
      <c r="D126" s="70">
        <f>IF(Pay_Num&lt;&gt;"",Scheduled_Monthly_Payment,"")</f>
        <v>2418.3976845093252</v>
      </c>
      <c r="E126" s="71">
        <f>IF(AND(Pay_Num&lt;&gt;"",Sched_Pay+Scheduled_Extra_Payments&lt;Beg_Bal),Scheduled_Extra_Payments,IF(AND(Pay_Num&lt;&gt;"",Beg_Bal-Sched_Pay&gt;0),Beg_Bal-Sched_Pay,IF(Pay_Num&lt;&gt;"",0,"")))</f>
        <v>0</v>
      </c>
      <c r="F126" s="70">
        <f>IF(AND(Pay_Num&lt;&gt;"",Sched_Pay+Extra_Pay&lt;Beg_Bal),Sched_Pay+Extra_Pay,IF(Pay_Num&lt;&gt;"",Beg_Bal,""))</f>
        <v>0</v>
      </c>
      <c r="G126" s="70">
        <f>IF(Pay_Num&lt;&gt;"",Total_Pay-Int,"")</f>
        <v>0</v>
      </c>
      <c r="H126" s="70">
        <f>IF(Pay_Num&lt;&gt;"",Beg_Bal*Interest_Rate/Num_Pmt_Per_Year,"")</f>
        <v>0</v>
      </c>
      <c r="I126" s="70">
        <f>IF(AND(Pay_Num&lt;&gt;"",Sched_Pay+Extra_Pay&lt;Beg_Bal),Beg_Bal-Princ,IF(Pay_Num&lt;&gt;"",0,""))</f>
        <v>0</v>
      </c>
      <c r="J126" s="70">
        <f>SUM($H$18:$H126)</f>
        <v>8041.5444282238004</v>
      </c>
    </row>
    <row r="127" spans="1:10" x14ac:dyDescent="0.3">
      <c r="A127" s="36">
        <f>IF(Values_Entered,A126+1,"")</f>
        <v>110</v>
      </c>
      <c r="B127" s="35">
        <f>IF(Pay_Num&lt;&gt;"",DATE(YEAR(Loan_Start),MONTH(Loan_Start)+(Pay_Num)*12/Num_Pmt_Per_Year,DAY(Loan_Start)),"")</f>
        <v>48731</v>
      </c>
      <c r="C127" s="70">
        <f>IF(Pay_Num&lt;&gt;"",I126,"")</f>
        <v>0</v>
      </c>
      <c r="D127" s="70">
        <f>IF(Pay_Num&lt;&gt;"",Scheduled_Monthly_Payment,"")</f>
        <v>2418.3976845093252</v>
      </c>
      <c r="E127" s="71">
        <f>IF(AND(Pay_Num&lt;&gt;"",Sched_Pay+Scheduled_Extra_Payments&lt;Beg_Bal),Scheduled_Extra_Payments,IF(AND(Pay_Num&lt;&gt;"",Beg_Bal-Sched_Pay&gt;0),Beg_Bal-Sched_Pay,IF(Pay_Num&lt;&gt;"",0,"")))</f>
        <v>0</v>
      </c>
      <c r="F127" s="70">
        <f>IF(AND(Pay_Num&lt;&gt;"",Sched_Pay+Extra_Pay&lt;Beg_Bal),Sched_Pay+Extra_Pay,IF(Pay_Num&lt;&gt;"",Beg_Bal,""))</f>
        <v>0</v>
      </c>
      <c r="G127" s="70">
        <f>IF(Pay_Num&lt;&gt;"",Total_Pay-Int,"")</f>
        <v>0</v>
      </c>
      <c r="H127" s="70">
        <f>IF(Pay_Num&lt;&gt;"",Beg_Bal*Interest_Rate/Num_Pmt_Per_Year,"")</f>
        <v>0</v>
      </c>
      <c r="I127" s="70">
        <f>IF(AND(Pay_Num&lt;&gt;"",Sched_Pay+Extra_Pay&lt;Beg_Bal),Beg_Bal-Princ,IF(Pay_Num&lt;&gt;"",0,""))</f>
        <v>0</v>
      </c>
      <c r="J127" s="70">
        <f>SUM($H$18:$H127)</f>
        <v>8041.5444282238004</v>
      </c>
    </row>
    <row r="128" spans="1:10" x14ac:dyDescent="0.3">
      <c r="A128" s="36">
        <f>IF(Values_Entered,A127+1,"")</f>
        <v>111</v>
      </c>
      <c r="B128" s="35">
        <f>IF(Pay_Num&lt;&gt;"",DATE(YEAR(Loan_Start),MONTH(Loan_Start)+(Pay_Num)*12/Num_Pmt_Per_Year,DAY(Loan_Start)),"")</f>
        <v>48761</v>
      </c>
      <c r="C128" s="70">
        <f>IF(Pay_Num&lt;&gt;"",I127,"")</f>
        <v>0</v>
      </c>
      <c r="D128" s="70">
        <f>IF(Pay_Num&lt;&gt;"",Scheduled_Monthly_Payment,"")</f>
        <v>2418.3976845093252</v>
      </c>
      <c r="E128" s="71">
        <f>IF(AND(Pay_Num&lt;&gt;"",Sched_Pay+Scheduled_Extra_Payments&lt;Beg_Bal),Scheduled_Extra_Payments,IF(AND(Pay_Num&lt;&gt;"",Beg_Bal-Sched_Pay&gt;0),Beg_Bal-Sched_Pay,IF(Pay_Num&lt;&gt;"",0,"")))</f>
        <v>0</v>
      </c>
      <c r="F128" s="70">
        <f>IF(AND(Pay_Num&lt;&gt;"",Sched_Pay+Extra_Pay&lt;Beg_Bal),Sched_Pay+Extra_Pay,IF(Pay_Num&lt;&gt;"",Beg_Bal,""))</f>
        <v>0</v>
      </c>
      <c r="G128" s="70">
        <f>IF(Pay_Num&lt;&gt;"",Total_Pay-Int,"")</f>
        <v>0</v>
      </c>
      <c r="H128" s="70">
        <f>IF(Pay_Num&lt;&gt;"",Beg_Bal*Interest_Rate/Num_Pmt_Per_Year,"")</f>
        <v>0</v>
      </c>
      <c r="I128" s="70">
        <f>IF(AND(Pay_Num&lt;&gt;"",Sched_Pay+Extra_Pay&lt;Beg_Bal),Beg_Bal-Princ,IF(Pay_Num&lt;&gt;"",0,""))</f>
        <v>0</v>
      </c>
      <c r="J128" s="70">
        <f>SUM($H$18:$H128)</f>
        <v>8041.5444282238004</v>
      </c>
    </row>
    <row r="129" spans="1:10" x14ac:dyDescent="0.3">
      <c r="A129" s="36">
        <f>IF(Values_Entered,A128+1,"")</f>
        <v>112</v>
      </c>
      <c r="B129" s="35">
        <f>IF(Pay_Num&lt;&gt;"",DATE(YEAR(Loan_Start),MONTH(Loan_Start)+(Pay_Num)*12/Num_Pmt_Per_Year,DAY(Loan_Start)),"")</f>
        <v>48792</v>
      </c>
      <c r="C129" s="70">
        <f>IF(Pay_Num&lt;&gt;"",I128,"")</f>
        <v>0</v>
      </c>
      <c r="D129" s="70">
        <f>IF(Pay_Num&lt;&gt;"",Scheduled_Monthly_Payment,"")</f>
        <v>2418.3976845093252</v>
      </c>
      <c r="E129" s="71">
        <f>IF(AND(Pay_Num&lt;&gt;"",Sched_Pay+Scheduled_Extra_Payments&lt;Beg_Bal),Scheduled_Extra_Payments,IF(AND(Pay_Num&lt;&gt;"",Beg_Bal-Sched_Pay&gt;0),Beg_Bal-Sched_Pay,IF(Pay_Num&lt;&gt;"",0,"")))</f>
        <v>0</v>
      </c>
      <c r="F129" s="70">
        <f>IF(AND(Pay_Num&lt;&gt;"",Sched_Pay+Extra_Pay&lt;Beg_Bal),Sched_Pay+Extra_Pay,IF(Pay_Num&lt;&gt;"",Beg_Bal,""))</f>
        <v>0</v>
      </c>
      <c r="G129" s="70">
        <f>IF(Pay_Num&lt;&gt;"",Total_Pay-Int,"")</f>
        <v>0</v>
      </c>
      <c r="H129" s="70">
        <f>IF(Pay_Num&lt;&gt;"",Beg_Bal*Interest_Rate/Num_Pmt_Per_Year,"")</f>
        <v>0</v>
      </c>
      <c r="I129" s="70">
        <f>IF(AND(Pay_Num&lt;&gt;"",Sched_Pay+Extra_Pay&lt;Beg_Bal),Beg_Bal-Princ,IF(Pay_Num&lt;&gt;"",0,""))</f>
        <v>0</v>
      </c>
      <c r="J129" s="70">
        <f>SUM($H$18:$H129)</f>
        <v>8041.5444282238004</v>
      </c>
    </row>
    <row r="130" spans="1:10" x14ac:dyDescent="0.3">
      <c r="A130" s="36">
        <f>IF(Values_Entered,A129+1,"")</f>
        <v>113</v>
      </c>
      <c r="B130" s="35">
        <f>IF(Pay_Num&lt;&gt;"",DATE(YEAR(Loan_Start),MONTH(Loan_Start)+(Pay_Num)*12/Num_Pmt_Per_Year,DAY(Loan_Start)),"")</f>
        <v>48823</v>
      </c>
      <c r="C130" s="70">
        <f>IF(Pay_Num&lt;&gt;"",I129,"")</f>
        <v>0</v>
      </c>
      <c r="D130" s="70">
        <f>IF(Pay_Num&lt;&gt;"",Scheduled_Monthly_Payment,"")</f>
        <v>2418.3976845093252</v>
      </c>
      <c r="E130" s="71">
        <f>IF(AND(Pay_Num&lt;&gt;"",Sched_Pay+Scheduled_Extra_Payments&lt;Beg_Bal),Scheduled_Extra_Payments,IF(AND(Pay_Num&lt;&gt;"",Beg_Bal-Sched_Pay&gt;0),Beg_Bal-Sched_Pay,IF(Pay_Num&lt;&gt;"",0,"")))</f>
        <v>0</v>
      </c>
      <c r="F130" s="70">
        <f>IF(AND(Pay_Num&lt;&gt;"",Sched_Pay+Extra_Pay&lt;Beg_Bal),Sched_Pay+Extra_Pay,IF(Pay_Num&lt;&gt;"",Beg_Bal,""))</f>
        <v>0</v>
      </c>
      <c r="G130" s="70">
        <f>IF(Pay_Num&lt;&gt;"",Total_Pay-Int,"")</f>
        <v>0</v>
      </c>
      <c r="H130" s="70">
        <f>IF(Pay_Num&lt;&gt;"",Beg_Bal*Interest_Rate/Num_Pmt_Per_Year,"")</f>
        <v>0</v>
      </c>
      <c r="I130" s="70">
        <f>IF(AND(Pay_Num&lt;&gt;"",Sched_Pay+Extra_Pay&lt;Beg_Bal),Beg_Bal-Princ,IF(Pay_Num&lt;&gt;"",0,""))</f>
        <v>0</v>
      </c>
      <c r="J130" s="70">
        <f>SUM($H$18:$H130)</f>
        <v>8041.5444282238004</v>
      </c>
    </row>
    <row r="131" spans="1:10" x14ac:dyDescent="0.3">
      <c r="A131" s="36">
        <f>IF(Values_Entered,A130+1,"")</f>
        <v>114</v>
      </c>
      <c r="B131" s="35">
        <f>IF(Pay_Num&lt;&gt;"",DATE(YEAR(Loan_Start),MONTH(Loan_Start)+(Pay_Num)*12/Num_Pmt_Per_Year,DAY(Loan_Start)),"")</f>
        <v>48853</v>
      </c>
      <c r="C131" s="70">
        <f>IF(Pay_Num&lt;&gt;"",I130,"")</f>
        <v>0</v>
      </c>
      <c r="D131" s="70">
        <f>IF(Pay_Num&lt;&gt;"",Scheduled_Monthly_Payment,"")</f>
        <v>2418.3976845093252</v>
      </c>
      <c r="E131" s="71">
        <f>IF(AND(Pay_Num&lt;&gt;"",Sched_Pay+Scheduled_Extra_Payments&lt;Beg_Bal),Scheduled_Extra_Payments,IF(AND(Pay_Num&lt;&gt;"",Beg_Bal-Sched_Pay&gt;0),Beg_Bal-Sched_Pay,IF(Pay_Num&lt;&gt;"",0,"")))</f>
        <v>0</v>
      </c>
      <c r="F131" s="70">
        <f>IF(AND(Pay_Num&lt;&gt;"",Sched_Pay+Extra_Pay&lt;Beg_Bal),Sched_Pay+Extra_Pay,IF(Pay_Num&lt;&gt;"",Beg_Bal,""))</f>
        <v>0</v>
      </c>
      <c r="G131" s="70">
        <f>IF(Pay_Num&lt;&gt;"",Total_Pay-Int,"")</f>
        <v>0</v>
      </c>
      <c r="H131" s="70">
        <f>IF(Pay_Num&lt;&gt;"",Beg_Bal*Interest_Rate/Num_Pmt_Per_Year,"")</f>
        <v>0</v>
      </c>
      <c r="I131" s="70">
        <f>IF(AND(Pay_Num&lt;&gt;"",Sched_Pay+Extra_Pay&lt;Beg_Bal),Beg_Bal-Princ,IF(Pay_Num&lt;&gt;"",0,""))</f>
        <v>0</v>
      </c>
      <c r="J131" s="70">
        <f>SUM($H$18:$H131)</f>
        <v>8041.5444282238004</v>
      </c>
    </row>
    <row r="132" spans="1:10" x14ac:dyDescent="0.3">
      <c r="A132" s="36">
        <f>IF(Values_Entered,A131+1,"")</f>
        <v>115</v>
      </c>
      <c r="B132" s="35">
        <f>IF(Pay_Num&lt;&gt;"",DATE(YEAR(Loan_Start),MONTH(Loan_Start)+(Pay_Num)*12/Num_Pmt_Per_Year,DAY(Loan_Start)),"")</f>
        <v>48884</v>
      </c>
      <c r="C132" s="70">
        <f>IF(Pay_Num&lt;&gt;"",I131,"")</f>
        <v>0</v>
      </c>
      <c r="D132" s="70">
        <f>IF(Pay_Num&lt;&gt;"",Scheduled_Monthly_Payment,"")</f>
        <v>2418.3976845093252</v>
      </c>
      <c r="E132" s="71">
        <f>IF(AND(Pay_Num&lt;&gt;"",Sched_Pay+Scheduled_Extra_Payments&lt;Beg_Bal),Scheduled_Extra_Payments,IF(AND(Pay_Num&lt;&gt;"",Beg_Bal-Sched_Pay&gt;0),Beg_Bal-Sched_Pay,IF(Pay_Num&lt;&gt;"",0,"")))</f>
        <v>0</v>
      </c>
      <c r="F132" s="70">
        <f>IF(AND(Pay_Num&lt;&gt;"",Sched_Pay+Extra_Pay&lt;Beg_Bal),Sched_Pay+Extra_Pay,IF(Pay_Num&lt;&gt;"",Beg_Bal,""))</f>
        <v>0</v>
      </c>
      <c r="G132" s="70">
        <f>IF(Pay_Num&lt;&gt;"",Total_Pay-Int,"")</f>
        <v>0</v>
      </c>
      <c r="H132" s="70">
        <f>IF(Pay_Num&lt;&gt;"",Beg_Bal*Interest_Rate/Num_Pmt_Per_Year,"")</f>
        <v>0</v>
      </c>
      <c r="I132" s="70">
        <f>IF(AND(Pay_Num&lt;&gt;"",Sched_Pay+Extra_Pay&lt;Beg_Bal),Beg_Bal-Princ,IF(Pay_Num&lt;&gt;"",0,""))</f>
        <v>0</v>
      </c>
      <c r="J132" s="70">
        <f>SUM($H$18:$H132)</f>
        <v>8041.5444282238004</v>
      </c>
    </row>
    <row r="133" spans="1:10" x14ac:dyDescent="0.3">
      <c r="A133" s="36">
        <f>IF(Values_Entered,A132+1,"")</f>
        <v>116</v>
      </c>
      <c r="B133" s="35">
        <f>IF(Pay_Num&lt;&gt;"",DATE(YEAR(Loan_Start),MONTH(Loan_Start)+(Pay_Num)*12/Num_Pmt_Per_Year,DAY(Loan_Start)),"")</f>
        <v>48914</v>
      </c>
      <c r="C133" s="70">
        <f>IF(Pay_Num&lt;&gt;"",I132,"")</f>
        <v>0</v>
      </c>
      <c r="D133" s="70">
        <f>IF(Pay_Num&lt;&gt;"",Scheduled_Monthly_Payment,"")</f>
        <v>2418.3976845093252</v>
      </c>
      <c r="E133" s="71">
        <f>IF(AND(Pay_Num&lt;&gt;"",Sched_Pay+Scheduled_Extra_Payments&lt;Beg_Bal),Scheduled_Extra_Payments,IF(AND(Pay_Num&lt;&gt;"",Beg_Bal-Sched_Pay&gt;0),Beg_Bal-Sched_Pay,IF(Pay_Num&lt;&gt;"",0,"")))</f>
        <v>0</v>
      </c>
      <c r="F133" s="70">
        <f>IF(AND(Pay_Num&lt;&gt;"",Sched_Pay+Extra_Pay&lt;Beg_Bal),Sched_Pay+Extra_Pay,IF(Pay_Num&lt;&gt;"",Beg_Bal,""))</f>
        <v>0</v>
      </c>
      <c r="G133" s="70">
        <f>IF(Pay_Num&lt;&gt;"",Total_Pay-Int,"")</f>
        <v>0</v>
      </c>
      <c r="H133" s="70">
        <f>IF(Pay_Num&lt;&gt;"",Beg_Bal*Interest_Rate/Num_Pmt_Per_Year,"")</f>
        <v>0</v>
      </c>
      <c r="I133" s="70">
        <f>IF(AND(Pay_Num&lt;&gt;"",Sched_Pay+Extra_Pay&lt;Beg_Bal),Beg_Bal-Princ,IF(Pay_Num&lt;&gt;"",0,""))</f>
        <v>0</v>
      </c>
      <c r="J133" s="70">
        <f>SUM($H$18:$H133)</f>
        <v>8041.5444282238004</v>
      </c>
    </row>
    <row r="134" spans="1:10" x14ac:dyDescent="0.3">
      <c r="A134" s="36">
        <f>IF(Values_Entered,A133+1,"")</f>
        <v>117</v>
      </c>
      <c r="B134" s="35">
        <f>IF(Pay_Num&lt;&gt;"",DATE(YEAR(Loan_Start),MONTH(Loan_Start)+(Pay_Num)*12/Num_Pmt_Per_Year,DAY(Loan_Start)),"")</f>
        <v>48945</v>
      </c>
      <c r="C134" s="70">
        <f>IF(Pay_Num&lt;&gt;"",I133,"")</f>
        <v>0</v>
      </c>
      <c r="D134" s="70">
        <f>IF(Pay_Num&lt;&gt;"",Scheduled_Monthly_Payment,"")</f>
        <v>2418.3976845093252</v>
      </c>
      <c r="E134" s="71">
        <f>IF(AND(Pay_Num&lt;&gt;"",Sched_Pay+Scheduled_Extra_Payments&lt;Beg_Bal),Scheduled_Extra_Payments,IF(AND(Pay_Num&lt;&gt;"",Beg_Bal-Sched_Pay&gt;0),Beg_Bal-Sched_Pay,IF(Pay_Num&lt;&gt;"",0,"")))</f>
        <v>0</v>
      </c>
      <c r="F134" s="70">
        <f>IF(AND(Pay_Num&lt;&gt;"",Sched_Pay+Extra_Pay&lt;Beg_Bal),Sched_Pay+Extra_Pay,IF(Pay_Num&lt;&gt;"",Beg_Bal,""))</f>
        <v>0</v>
      </c>
      <c r="G134" s="70">
        <f>IF(Pay_Num&lt;&gt;"",Total_Pay-Int,"")</f>
        <v>0</v>
      </c>
      <c r="H134" s="70">
        <f>IF(Pay_Num&lt;&gt;"",Beg_Bal*Interest_Rate/Num_Pmt_Per_Year,"")</f>
        <v>0</v>
      </c>
      <c r="I134" s="70">
        <f>IF(AND(Pay_Num&lt;&gt;"",Sched_Pay+Extra_Pay&lt;Beg_Bal),Beg_Bal-Princ,IF(Pay_Num&lt;&gt;"",0,""))</f>
        <v>0</v>
      </c>
      <c r="J134" s="70">
        <f>SUM($H$18:$H134)</f>
        <v>8041.5444282238004</v>
      </c>
    </row>
    <row r="135" spans="1:10" x14ac:dyDescent="0.3">
      <c r="A135" s="36">
        <f>IF(Values_Entered,A134+1,"")</f>
        <v>118</v>
      </c>
      <c r="B135" s="35">
        <f>IF(Pay_Num&lt;&gt;"",DATE(YEAR(Loan_Start),MONTH(Loan_Start)+(Pay_Num)*12/Num_Pmt_Per_Year,DAY(Loan_Start)),"")</f>
        <v>48976</v>
      </c>
      <c r="C135" s="70">
        <f>IF(Pay_Num&lt;&gt;"",I134,"")</f>
        <v>0</v>
      </c>
      <c r="D135" s="70">
        <f>IF(Pay_Num&lt;&gt;"",Scheduled_Monthly_Payment,"")</f>
        <v>2418.3976845093252</v>
      </c>
      <c r="E135" s="71">
        <f>IF(AND(Pay_Num&lt;&gt;"",Sched_Pay+Scheduled_Extra_Payments&lt;Beg_Bal),Scheduled_Extra_Payments,IF(AND(Pay_Num&lt;&gt;"",Beg_Bal-Sched_Pay&gt;0),Beg_Bal-Sched_Pay,IF(Pay_Num&lt;&gt;"",0,"")))</f>
        <v>0</v>
      </c>
      <c r="F135" s="70">
        <f>IF(AND(Pay_Num&lt;&gt;"",Sched_Pay+Extra_Pay&lt;Beg_Bal),Sched_Pay+Extra_Pay,IF(Pay_Num&lt;&gt;"",Beg_Bal,""))</f>
        <v>0</v>
      </c>
      <c r="G135" s="70">
        <f>IF(Pay_Num&lt;&gt;"",Total_Pay-Int,"")</f>
        <v>0</v>
      </c>
      <c r="H135" s="70">
        <f>IF(Pay_Num&lt;&gt;"",Beg_Bal*Interest_Rate/Num_Pmt_Per_Year,"")</f>
        <v>0</v>
      </c>
      <c r="I135" s="70">
        <f>IF(AND(Pay_Num&lt;&gt;"",Sched_Pay+Extra_Pay&lt;Beg_Bal),Beg_Bal-Princ,IF(Pay_Num&lt;&gt;"",0,""))</f>
        <v>0</v>
      </c>
      <c r="J135" s="70">
        <f>SUM($H$18:$H135)</f>
        <v>8041.5444282238004</v>
      </c>
    </row>
    <row r="136" spans="1:10" x14ac:dyDescent="0.3">
      <c r="A136" s="36">
        <f>IF(Values_Entered,A135+1,"")</f>
        <v>119</v>
      </c>
      <c r="B136" s="35">
        <f>IF(Pay_Num&lt;&gt;"",DATE(YEAR(Loan_Start),MONTH(Loan_Start)+(Pay_Num)*12/Num_Pmt_Per_Year,DAY(Loan_Start)),"")</f>
        <v>49004</v>
      </c>
      <c r="C136" s="70">
        <f>IF(Pay_Num&lt;&gt;"",I135,"")</f>
        <v>0</v>
      </c>
      <c r="D136" s="70">
        <f>IF(Pay_Num&lt;&gt;"",Scheduled_Monthly_Payment,"")</f>
        <v>2418.3976845093252</v>
      </c>
      <c r="E136" s="71">
        <f>IF(AND(Pay_Num&lt;&gt;"",Sched_Pay+Scheduled_Extra_Payments&lt;Beg_Bal),Scheduled_Extra_Payments,IF(AND(Pay_Num&lt;&gt;"",Beg_Bal-Sched_Pay&gt;0),Beg_Bal-Sched_Pay,IF(Pay_Num&lt;&gt;"",0,"")))</f>
        <v>0</v>
      </c>
      <c r="F136" s="70">
        <f>IF(AND(Pay_Num&lt;&gt;"",Sched_Pay+Extra_Pay&lt;Beg_Bal),Sched_Pay+Extra_Pay,IF(Pay_Num&lt;&gt;"",Beg_Bal,""))</f>
        <v>0</v>
      </c>
      <c r="G136" s="70">
        <f>IF(Pay_Num&lt;&gt;"",Total_Pay-Int,"")</f>
        <v>0</v>
      </c>
      <c r="H136" s="70">
        <f>IF(Pay_Num&lt;&gt;"",Beg_Bal*Interest_Rate/Num_Pmt_Per_Year,"")</f>
        <v>0</v>
      </c>
      <c r="I136" s="70">
        <f>IF(AND(Pay_Num&lt;&gt;"",Sched_Pay+Extra_Pay&lt;Beg_Bal),Beg_Bal-Princ,IF(Pay_Num&lt;&gt;"",0,""))</f>
        <v>0</v>
      </c>
      <c r="J136" s="70">
        <f>SUM($H$18:$H136)</f>
        <v>8041.5444282238004</v>
      </c>
    </row>
    <row r="137" spans="1:10" x14ac:dyDescent="0.3">
      <c r="A137" s="36">
        <f>IF(Values_Entered,A136+1,"")</f>
        <v>120</v>
      </c>
      <c r="B137" s="35">
        <f>IF(Pay_Num&lt;&gt;"",DATE(YEAR(Loan_Start),MONTH(Loan_Start)+(Pay_Num)*12/Num_Pmt_Per_Year,DAY(Loan_Start)),"")</f>
        <v>49035</v>
      </c>
      <c r="C137" s="70">
        <f>IF(Pay_Num&lt;&gt;"",I136,"")</f>
        <v>0</v>
      </c>
      <c r="D137" s="70">
        <f>IF(Pay_Num&lt;&gt;"",Scheduled_Monthly_Payment,"")</f>
        <v>2418.3976845093252</v>
      </c>
      <c r="E137" s="71">
        <f>IF(AND(Pay_Num&lt;&gt;"",Sched_Pay+Scheduled_Extra_Payments&lt;Beg_Bal),Scheduled_Extra_Payments,IF(AND(Pay_Num&lt;&gt;"",Beg_Bal-Sched_Pay&gt;0),Beg_Bal-Sched_Pay,IF(Pay_Num&lt;&gt;"",0,"")))</f>
        <v>0</v>
      </c>
      <c r="F137" s="70">
        <f>IF(AND(Pay_Num&lt;&gt;"",Sched_Pay+Extra_Pay&lt;Beg_Bal),Sched_Pay+Extra_Pay,IF(Pay_Num&lt;&gt;"",Beg_Bal,""))</f>
        <v>0</v>
      </c>
      <c r="G137" s="70">
        <f>IF(Pay_Num&lt;&gt;"",Total_Pay-Int,"")</f>
        <v>0</v>
      </c>
      <c r="H137" s="70">
        <f>IF(Pay_Num&lt;&gt;"",Beg_Bal*Interest_Rate/Num_Pmt_Per_Year,"")</f>
        <v>0</v>
      </c>
      <c r="I137" s="70">
        <f>IF(AND(Pay_Num&lt;&gt;"",Sched_Pay+Extra_Pay&lt;Beg_Bal),Beg_Bal-Princ,IF(Pay_Num&lt;&gt;"",0,""))</f>
        <v>0</v>
      </c>
      <c r="J137" s="70">
        <f>SUM($H$18:$H137)</f>
        <v>8041.5444282238004</v>
      </c>
    </row>
    <row r="138" spans="1:10" x14ac:dyDescent="0.3">
      <c r="A138" s="36">
        <f>IF(Values_Entered,A137+1,"")</f>
        <v>121</v>
      </c>
      <c r="B138" s="35">
        <f>IF(Pay_Num&lt;&gt;"",DATE(YEAR(Loan_Start),MONTH(Loan_Start)+(Pay_Num)*12/Num_Pmt_Per_Year,DAY(Loan_Start)),"")</f>
        <v>49065</v>
      </c>
      <c r="C138" s="70">
        <f>IF(Pay_Num&lt;&gt;"",I137,"")</f>
        <v>0</v>
      </c>
      <c r="D138" s="70">
        <f>IF(Pay_Num&lt;&gt;"",Scheduled_Monthly_Payment,"")</f>
        <v>2418.3976845093252</v>
      </c>
      <c r="E138" s="71">
        <f>IF(AND(Pay_Num&lt;&gt;"",Sched_Pay+Scheduled_Extra_Payments&lt;Beg_Bal),Scheduled_Extra_Payments,IF(AND(Pay_Num&lt;&gt;"",Beg_Bal-Sched_Pay&gt;0),Beg_Bal-Sched_Pay,IF(Pay_Num&lt;&gt;"",0,"")))</f>
        <v>0</v>
      </c>
      <c r="F138" s="70">
        <f>IF(AND(Pay_Num&lt;&gt;"",Sched_Pay+Extra_Pay&lt;Beg_Bal),Sched_Pay+Extra_Pay,IF(Pay_Num&lt;&gt;"",Beg_Bal,""))</f>
        <v>0</v>
      </c>
      <c r="G138" s="70">
        <f>IF(Pay_Num&lt;&gt;"",Total_Pay-Int,"")</f>
        <v>0</v>
      </c>
      <c r="H138" s="70">
        <f>IF(Pay_Num&lt;&gt;"",Beg_Bal*Interest_Rate/Num_Pmt_Per_Year,"")</f>
        <v>0</v>
      </c>
      <c r="I138" s="70">
        <f>IF(AND(Pay_Num&lt;&gt;"",Sched_Pay+Extra_Pay&lt;Beg_Bal),Beg_Bal-Princ,IF(Pay_Num&lt;&gt;"",0,""))</f>
        <v>0</v>
      </c>
      <c r="J138" s="70">
        <f>SUM($H$18:$H138)</f>
        <v>8041.5444282238004</v>
      </c>
    </row>
    <row r="139" spans="1:10" x14ac:dyDescent="0.3">
      <c r="A139" s="36">
        <f>IF(Values_Entered,A138+1,"")</f>
        <v>122</v>
      </c>
      <c r="B139" s="35">
        <f>IF(Pay_Num&lt;&gt;"",DATE(YEAR(Loan_Start),MONTH(Loan_Start)+(Pay_Num)*12/Num_Pmt_Per_Year,DAY(Loan_Start)),"")</f>
        <v>49096</v>
      </c>
      <c r="C139" s="70">
        <f>IF(Pay_Num&lt;&gt;"",I138,"")</f>
        <v>0</v>
      </c>
      <c r="D139" s="70">
        <f>IF(Pay_Num&lt;&gt;"",Scheduled_Monthly_Payment,"")</f>
        <v>2418.3976845093252</v>
      </c>
      <c r="E139" s="71">
        <f>IF(AND(Pay_Num&lt;&gt;"",Sched_Pay+Scheduled_Extra_Payments&lt;Beg_Bal),Scheduled_Extra_Payments,IF(AND(Pay_Num&lt;&gt;"",Beg_Bal-Sched_Pay&gt;0),Beg_Bal-Sched_Pay,IF(Pay_Num&lt;&gt;"",0,"")))</f>
        <v>0</v>
      </c>
      <c r="F139" s="70">
        <f>IF(AND(Pay_Num&lt;&gt;"",Sched_Pay+Extra_Pay&lt;Beg_Bal),Sched_Pay+Extra_Pay,IF(Pay_Num&lt;&gt;"",Beg_Bal,""))</f>
        <v>0</v>
      </c>
      <c r="G139" s="70">
        <f>IF(Pay_Num&lt;&gt;"",Total_Pay-Int,"")</f>
        <v>0</v>
      </c>
      <c r="H139" s="70">
        <f>IF(Pay_Num&lt;&gt;"",Beg_Bal*Interest_Rate/Num_Pmt_Per_Year,"")</f>
        <v>0</v>
      </c>
      <c r="I139" s="70">
        <f>IF(AND(Pay_Num&lt;&gt;"",Sched_Pay+Extra_Pay&lt;Beg_Bal),Beg_Bal-Princ,IF(Pay_Num&lt;&gt;"",0,""))</f>
        <v>0</v>
      </c>
      <c r="J139" s="70">
        <f>SUM($H$18:$H139)</f>
        <v>8041.5444282238004</v>
      </c>
    </row>
    <row r="140" spans="1:10" x14ac:dyDescent="0.3">
      <c r="A140" s="36">
        <f>IF(Values_Entered,A139+1,"")</f>
        <v>123</v>
      </c>
      <c r="B140" s="35">
        <f>IF(Pay_Num&lt;&gt;"",DATE(YEAR(Loan_Start),MONTH(Loan_Start)+(Pay_Num)*12/Num_Pmt_Per_Year,DAY(Loan_Start)),"")</f>
        <v>49126</v>
      </c>
      <c r="C140" s="70">
        <f>IF(Pay_Num&lt;&gt;"",I139,"")</f>
        <v>0</v>
      </c>
      <c r="D140" s="70">
        <f>IF(Pay_Num&lt;&gt;"",Scheduled_Monthly_Payment,"")</f>
        <v>2418.3976845093252</v>
      </c>
      <c r="E140" s="71">
        <f>IF(AND(Pay_Num&lt;&gt;"",Sched_Pay+Scheduled_Extra_Payments&lt;Beg_Bal),Scheduled_Extra_Payments,IF(AND(Pay_Num&lt;&gt;"",Beg_Bal-Sched_Pay&gt;0),Beg_Bal-Sched_Pay,IF(Pay_Num&lt;&gt;"",0,"")))</f>
        <v>0</v>
      </c>
      <c r="F140" s="70">
        <f>IF(AND(Pay_Num&lt;&gt;"",Sched_Pay+Extra_Pay&lt;Beg_Bal),Sched_Pay+Extra_Pay,IF(Pay_Num&lt;&gt;"",Beg_Bal,""))</f>
        <v>0</v>
      </c>
      <c r="G140" s="70">
        <f>IF(Pay_Num&lt;&gt;"",Total_Pay-Int,"")</f>
        <v>0</v>
      </c>
      <c r="H140" s="70">
        <f>IF(Pay_Num&lt;&gt;"",Beg_Bal*Interest_Rate/Num_Pmt_Per_Year,"")</f>
        <v>0</v>
      </c>
      <c r="I140" s="70">
        <f>IF(AND(Pay_Num&lt;&gt;"",Sched_Pay+Extra_Pay&lt;Beg_Bal),Beg_Bal-Princ,IF(Pay_Num&lt;&gt;"",0,""))</f>
        <v>0</v>
      </c>
      <c r="J140" s="70">
        <f>SUM($H$18:$H140)</f>
        <v>8041.5444282238004</v>
      </c>
    </row>
    <row r="141" spans="1:10" x14ac:dyDescent="0.3">
      <c r="A141" s="36">
        <f>IF(Values_Entered,A140+1,"")</f>
        <v>124</v>
      </c>
      <c r="B141" s="35">
        <f>IF(Pay_Num&lt;&gt;"",DATE(YEAR(Loan_Start),MONTH(Loan_Start)+(Pay_Num)*12/Num_Pmt_Per_Year,DAY(Loan_Start)),"")</f>
        <v>49157</v>
      </c>
      <c r="C141" s="70">
        <f>IF(Pay_Num&lt;&gt;"",I140,"")</f>
        <v>0</v>
      </c>
      <c r="D141" s="70">
        <f>IF(Pay_Num&lt;&gt;"",Scheduled_Monthly_Payment,"")</f>
        <v>2418.3976845093252</v>
      </c>
      <c r="E141" s="71">
        <f>IF(AND(Pay_Num&lt;&gt;"",Sched_Pay+Scheduled_Extra_Payments&lt;Beg_Bal),Scheduled_Extra_Payments,IF(AND(Pay_Num&lt;&gt;"",Beg_Bal-Sched_Pay&gt;0),Beg_Bal-Sched_Pay,IF(Pay_Num&lt;&gt;"",0,"")))</f>
        <v>0</v>
      </c>
      <c r="F141" s="70">
        <f>IF(AND(Pay_Num&lt;&gt;"",Sched_Pay+Extra_Pay&lt;Beg_Bal),Sched_Pay+Extra_Pay,IF(Pay_Num&lt;&gt;"",Beg_Bal,""))</f>
        <v>0</v>
      </c>
      <c r="G141" s="70">
        <f>IF(Pay_Num&lt;&gt;"",Total_Pay-Int,"")</f>
        <v>0</v>
      </c>
      <c r="H141" s="70">
        <f>IF(Pay_Num&lt;&gt;"",Beg_Bal*Interest_Rate/Num_Pmt_Per_Year,"")</f>
        <v>0</v>
      </c>
      <c r="I141" s="70">
        <f>IF(AND(Pay_Num&lt;&gt;"",Sched_Pay+Extra_Pay&lt;Beg_Bal),Beg_Bal-Princ,IF(Pay_Num&lt;&gt;"",0,""))</f>
        <v>0</v>
      </c>
      <c r="J141" s="70">
        <f>SUM($H$18:$H141)</f>
        <v>8041.5444282238004</v>
      </c>
    </row>
    <row r="142" spans="1:10" x14ac:dyDescent="0.3">
      <c r="A142" s="36">
        <f>IF(Values_Entered,A141+1,"")</f>
        <v>125</v>
      </c>
      <c r="B142" s="35">
        <f>IF(Pay_Num&lt;&gt;"",DATE(YEAR(Loan_Start),MONTH(Loan_Start)+(Pay_Num)*12/Num_Pmt_Per_Year,DAY(Loan_Start)),"")</f>
        <v>49188</v>
      </c>
      <c r="C142" s="70">
        <f>IF(Pay_Num&lt;&gt;"",I141,"")</f>
        <v>0</v>
      </c>
      <c r="D142" s="70">
        <f>IF(Pay_Num&lt;&gt;"",Scheduled_Monthly_Payment,"")</f>
        <v>2418.3976845093252</v>
      </c>
      <c r="E142" s="71">
        <f>IF(AND(Pay_Num&lt;&gt;"",Sched_Pay+Scheduled_Extra_Payments&lt;Beg_Bal),Scheduled_Extra_Payments,IF(AND(Pay_Num&lt;&gt;"",Beg_Bal-Sched_Pay&gt;0),Beg_Bal-Sched_Pay,IF(Pay_Num&lt;&gt;"",0,"")))</f>
        <v>0</v>
      </c>
      <c r="F142" s="70">
        <f>IF(AND(Pay_Num&lt;&gt;"",Sched_Pay+Extra_Pay&lt;Beg_Bal),Sched_Pay+Extra_Pay,IF(Pay_Num&lt;&gt;"",Beg_Bal,""))</f>
        <v>0</v>
      </c>
      <c r="G142" s="70">
        <f>IF(Pay_Num&lt;&gt;"",Total_Pay-Int,"")</f>
        <v>0</v>
      </c>
      <c r="H142" s="70">
        <f>IF(Pay_Num&lt;&gt;"",Beg_Bal*Interest_Rate/Num_Pmt_Per_Year,"")</f>
        <v>0</v>
      </c>
      <c r="I142" s="70">
        <f>IF(AND(Pay_Num&lt;&gt;"",Sched_Pay+Extra_Pay&lt;Beg_Bal),Beg_Bal-Princ,IF(Pay_Num&lt;&gt;"",0,""))</f>
        <v>0</v>
      </c>
      <c r="J142" s="70">
        <f>SUM($H$18:$H142)</f>
        <v>8041.5444282238004</v>
      </c>
    </row>
    <row r="143" spans="1:10" x14ac:dyDescent="0.3">
      <c r="A143" s="36">
        <f>IF(Values_Entered,A142+1,"")</f>
        <v>126</v>
      </c>
      <c r="B143" s="35">
        <f>IF(Pay_Num&lt;&gt;"",DATE(YEAR(Loan_Start),MONTH(Loan_Start)+(Pay_Num)*12/Num_Pmt_Per_Year,DAY(Loan_Start)),"")</f>
        <v>49218</v>
      </c>
      <c r="C143" s="70">
        <f>IF(Pay_Num&lt;&gt;"",I142,"")</f>
        <v>0</v>
      </c>
      <c r="D143" s="70">
        <f>IF(Pay_Num&lt;&gt;"",Scheduled_Monthly_Payment,"")</f>
        <v>2418.3976845093252</v>
      </c>
      <c r="E143" s="71">
        <f>IF(AND(Pay_Num&lt;&gt;"",Sched_Pay+Scheduled_Extra_Payments&lt;Beg_Bal),Scheduled_Extra_Payments,IF(AND(Pay_Num&lt;&gt;"",Beg_Bal-Sched_Pay&gt;0),Beg_Bal-Sched_Pay,IF(Pay_Num&lt;&gt;"",0,"")))</f>
        <v>0</v>
      </c>
      <c r="F143" s="70">
        <f>IF(AND(Pay_Num&lt;&gt;"",Sched_Pay+Extra_Pay&lt;Beg_Bal),Sched_Pay+Extra_Pay,IF(Pay_Num&lt;&gt;"",Beg_Bal,""))</f>
        <v>0</v>
      </c>
      <c r="G143" s="70">
        <f>IF(Pay_Num&lt;&gt;"",Total_Pay-Int,"")</f>
        <v>0</v>
      </c>
      <c r="H143" s="70">
        <f>IF(Pay_Num&lt;&gt;"",Beg_Bal*Interest_Rate/Num_Pmt_Per_Year,"")</f>
        <v>0</v>
      </c>
      <c r="I143" s="70">
        <f>IF(AND(Pay_Num&lt;&gt;"",Sched_Pay+Extra_Pay&lt;Beg_Bal),Beg_Bal-Princ,IF(Pay_Num&lt;&gt;"",0,""))</f>
        <v>0</v>
      </c>
      <c r="J143" s="70">
        <f>SUM($H$18:$H143)</f>
        <v>8041.5444282238004</v>
      </c>
    </row>
    <row r="144" spans="1:10" x14ac:dyDescent="0.3">
      <c r="A144" s="36">
        <f>IF(Values_Entered,A143+1,"")</f>
        <v>127</v>
      </c>
      <c r="B144" s="35">
        <f>IF(Pay_Num&lt;&gt;"",DATE(YEAR(Loan_Start),MONTH(Loan_Start)+(Pay_Num)*12/Num_Pmt_Per_Year,DAY(Loan_Start)),"")</f>
        <v>49249</v>
      </c>
      <c r="C144" s="70">
        <f>IF(Pay_Num&lt;&gt;"",I143,"")</f>
        <v>0</v>
      </c>
      <c r="D144" s="70">
        <f>IF(Pay_Num&lt;&gt;"",Scheduled_Monthly_Payment,"")</f>
        <v>2418.3976845093252</v>
      </c>
      <c r="E144" s="71">
        <f>IF(AND(Pay_Num&lt;&gt;"",Sched_Pay+Scheduled_Extra_Payments&lt;Beg_Bal),Scheduled_Extra_Payments,IF(AND(Pay_Num&lt;&gt;"",Beg_Bal-Sched_Pay&gt;0),Beg_Bal-Sched_Pay,IF(Pay_Num&lt;&gt;"",0,"")))</f>
        <v>0</v>
      </c>
      <c r="F144" s="70">
        <f>IF(AND(Pay_Num&lt;&gt;"",Sched_Pay+Extra_Pay&lt;Beg_Bal),Sched_Pay+Extra_Pay,IF(Pay_Num&lt;&gt;"",Beg_Bal,""))</f>
        <v>0</v>
      </c>
      <c r="G144" s="70">
        <f>IF(Pay_Num&lt;&gt;"",Total_Pay-Int,"")</f>
        <v>0</v>
      </c>
      <c r="H144" s="70">
        <f>IF(Pay_Num&lt;&gt;"",Beg_Bal*Interest_Rate/Num_Pmt_Per_Year,"")</f>
        <v>0</v>
      </c>
      <c r="I144" s="70">
        <f>IF(AND(Pay_Num&lt;&gt;"",Sched_Pay+Extra_Pay&lt;Beg_Bal),Beg_Bal-Princ,IF(Pay_Num&lt;&gt;"",0,""))</f>
        <v>0</v>
      </c>
      <c r="J144" s="70">
        <f>SUM($H$18:$H144)</f>
        <v>8041.5444282238004</v>
      </c>
    </row>
    <row r="145" spans="1:10" x14ac:dyDescent="0.3">
      <c r="A145" s="36">
        <f>IF(Values_Entered,A144+1,"")</f>
        <v>128</v>
      </c>
      <c r="B145" s="35">
        <f>IF(Pay_Num&lt;&gt;"",DATE(YEAR(Loan_Start),MONTH(Loan_Start)+(Pay_Num)*12/Num_Pmt_Per_Year,DAY(Loan_Start)),"")</f>
        <v>49279</v>
      </c>
      <c r="C145" s="70">
        <f>IF(Pay_Num&lt;&gt;"",I144,"")</f>
        <v>0</v>
      </c>
      <c r="D145" s="70">
        <f>IF(Pay_Num&lt;&gt;"",Scheduled_Monthly_Payment,"")</f>
        <v>2418.3976845093252</v>
      </c>
      <c r="E145" s="71">
        <f>IF(AND(Pay_Num&lt;&gt;"",Sched_Pay+Scheduled_Extra_Payments&lt;Beg_Bal),Scheduled_Extra_Payments,IF(AND(Pay_Num&lt;&gt;"",Beg_Bal-Sched_Pay&gt;0),Beg_Bal-Sched_Pay,IF(Pay_Num&lt;&gt;"",0,"")))</f>
        <v>0</v>
      </c>
      <c r="F145" s="70">
        <f>IF(AND(Pay_Num&lt;&gt;"",Sched_Pay+Extra_Pay&lt;Beg_Bal),Sched_Pay+Extra_Pay,IF(Pay_Num&lt;&gt;"",Beg_Bal,""))</f>
        <v>0</v>
      </c>
      <c r="G145" s="70">
        <f>IF(Pay_Num&lt;&gt;"",Total_Pay-Int,"")</f>
        <v>0</v>
      </c>
      <c r="H145" s="70">
        <f>IF(Pay_Num&lt;&gt;"",Beg_Bal*Interest_Rate/Num_Pmt_Per_Year,"")</f>
        <v>0</v>
      </c>
      <c r="I145" s="70">
        <f>IF(AND(Pay_Num&lt;&gt;"",Sched_Pay+Extra_Pay&lt;Beg_Bal),Beg_Bal-Princ,IF(Pay_Num&lt;&gt;"",0,""))</f>
        <v>0</v>
      </c>
      <c r="J145" s="70">
        <f>SUM($H$18:$H145)</f>
        <v>8041.5444282238004</v>
      </c>
    </row>
    <row r="146" spans="1:10" x14ac:dyDescent="0.3">
      <c r="A146" s="36">
        <f>IF(Values_Entered,A145+1,"")</f>
        <v>129</v>
      </c>
      <c r="B146" s="35">
        <f>IF(Pay_Num&lt;&gt;"",DATE(YEAR(Loan_Start),MONTH(Loan_Start)+(Pay_Num)*12/Num_Pmt_Per_Year,DAY(Loan_Start)),"")</f>
        <v>49310</v>
      </c>
      <c r="C146" s="70">
        <f>IF(Pay_Num&lt;&gt;"",I145,"")</f>
        <v>0</v>
      </c>
      <c r="D146" s="70">
        <f>IF(Pay_Num&lt;&gt;"",Scheduled_Monthly_Payment,"")</f>
        <v>2418.3976845093252</v>
      </c>
      <c r="E146" s="71">
        <f>IF(AND(Pay_Num&lt;&gt;"",Sched_Pay+Scheduled_Extra_Payments&lt;Beg_Bal),Scheduled_Extra_Payments,IF(AND(Pay_Num&lt;&gt;"",Beg_Bal-Sched_Pay&gt;0),Beg_Bal-Sched_Pay,IF(Pay_Num&lt;&gt;"",0,"")))</f>
        <v>0</v>
      </c>
      <c r="F146" s="70">
        <f>IF(AND(Pay_Num&lt;&gt;"",Sched_Pay+Extra_Pay&lt;Beg_Bal),Sched_Pay+Extra_Pay,IF(Pay_Num&lt;&gt;"",Beg_Bal,""))</f>
        <v>0</v>
      </c>
      <c r="G146" s="70">
        <f>IF(Pay_Num&lt;&gt;"",Total_Pay-Int,"")</f>
        <v>0</v>
      </c>
      <c r="H146" s="70">
        <f>IF(Pay_Num&lt;&gt;"",Beg_Bal*Interest_Rate/Num_Pmt_Per_Year,"")</f>
        <v>0</v>
      </c>
      <c r="I146" s="70">
        <f>IF(AND(Pay_Num&lt;&gt;"",Sched_Pay+Extra_Pay&lt;Beg_Bal),Beg_Bal-Princ,IF(Pay_Num&lt;&gt;"",0,""))</f>
        <v>0</v>
      </c>
      <c r="J146" s="70">
        <f>SUM($H$18:$H146)</f>
        <v>8041.5444282238004</v>
      </c>
    </row>
    <row r="147" spans="1:10" x14ac:dyDescent="0.3">
      <c r="A147" s="36">
        <f>IF(Values_Entered,A146+1,"")</f>
        <v>130</v>
      </c>
      <c r="B147" s="35">
        <f>IF(Pay_Num&lt;&gt;"",DATE(YEAR(Loan_Start),MONTH(Loan_Start)+(Pay_Num)*12/Num_Pmt_Per_Year,DAY(Loan_Start)),"")</f>
        <v>49341</v>
      </c>
      <c r="C147" s="70">
        <f>IF(Pay_Num&lt;&gt;"",I146,"")</f>
        <v>0</v>
      </c>
      <c r="D147" s="70">
        <f>IF(Pay_Num&lt;&gt;"",Scheduled_Monthly_Payment,"")</f>
        <v>2418.3976845093252</v>
      </c>
      <c r="E147" s="71">
        <f>IF(AND(Pay_Num&lt;&gt;"",Sched_Pay+Scheduled_Extra_Payments&lt;Beg_Bal),Scheduled_Extra_Payments,IF(AND(Pay_Num&lt;&gt;"",Beg_Bal-Sched_Pay&gt;0),Beg_Bal-Sched_Pay,IF(Pay_Num&lt;&gt;"",0,"")))</f>
        <v>0</v>
      </c>
      <c r="F147" s="70">
        <f>IF(AND(Pay_Num&lt;&gt;"",Sched_Pay+Extra_Pay&lt;Beg_Bal),Sched_Pay+Extra_Pay,IF(Pay_Num&lt;&gt;"",Beg_Bal,""))</f>
        <v>0</v>
      </c>
      <c r="G147" s="70">
        <f>IF(Pay_Num&lt;&gt;"",Total_Pay-Int,"")</f>
        <v>0</v>
      </c>
      <c r="H147" s="70">
        <f>IF(Pay_Num&lt;&gt;"",Beg_Bal*Interest_Rate/Num_Pmt_Per_Year,"")</f>
        <v>0</v>
      </c>
      <c r="I147" s="70">
        <f>IF(AND(Pay_Num&lt;&gt;"",Sched_Pay+Extra_Pay&lt;Beg_Bal),Beg_Bal-Princ,IF(Pay_Num&lt;&gt;"",0,""))</f>
        <v>0</v>
      </c>
      <c r="J147" s="70">
        <f>SUM($H$18:$H147)</f>
        <v>8041.5444282238004</v>
      </c>
    </row>
    <row r="148" spans="1:10" x14ac:dyDescent="0.3">
      <c r="A148" s="36">
        <f>IF(Values_Entered,A147+1,"")</f>
        <v>131</v>
      </c>
      <c r="B148" s="35">
        <f>IF(Pay_Num&lt;&gt;"",DATE(YEAR(Loan_Start),MONTH(Loan_Start)+(Pay_Num)*12/Num_Pmt_Per_Year,DAY(Loan_Start)),"")</f>
        <v>49369</v>
      </c>
      <c r="C148" s="70">
        <f>IF(Pay_Num&lt;&gt;"",I147,"")</f>
        <v>0</v>
      </c>
      <c r="D148" s="70">
        <f>IF(Pay_Num&lt;&gt;"",Scheduled_Monthly_Payment,"")</f>
        <v>2418.3976845093252</v>
      </c>
      <c r="E148" s="71">
        <f>IF(AND(Pay_Num&lt;&gt;"",Sched_Pay+Scheduled_Extra_Payments&lt;Beg_Bal),Scheduled_Extra_Payments,IF(AND(Pay_Num&lt;&gt;"",Beg_Bal-Sched_Pay&gt;0),Beg_Bal-Sched_Pay,IF(Pay_Num&lt;&gt;"",0,"")))</f>
        <v>0</v>
      </c>
      <c r="F148" s="70">
        <f>IF(AND(Pay_Num&lt;&gt;"",Sched_Pay+Extra_Pay&lt;Beg_Bal),Sched_Pay+Extra_Pay,IF(Pay_Num&lt;&gt;"",Beg_Bal,""))</f>
        <v>0</v>
      </c>
      <c r="G148" s="70">
        <f>IF(Pay_Num&lt;&gt;"",Total_Pay-Int,"")</f>
        <v>0</v>
      </c>
      <c r="H148" s="70">
        <f>IF(Pay_Num&lt;&gt;"",Beg_Bal*Interest_Rate/Num_Pmt_Per_Year,"")</f>
        <v>0</v>
      </c>
      <c r="I148" s="70">
        <f>IF(AND(Pay_Num&lt;&gt;"",Sched_Pay+Extra_Pay&lt;Beg_Bal),Beg_Bal-Princ,IF(Pay_Num&lt;&gt;"",0,""))</f>
        <v>0</v>
      </c>
      <c r="J148" s="70">
        <f>SUM($H$18:$H148)</f>
        <v>8041.5444282238004</v>
      </c>
    </row>
    <row r="149" spans="1:10" x14ac:dyDescent="0.3">
      <c r="A149" s="36">
        <f>IF(Values_Entered,A148+1,"")</f>
        <v>132</v>
      </c>
      <c r="B149" s="35">
        <f>IF(Pay_Num&lt;&gt;"",DATE(YEAR(Loan_Start),MONTH(Loan_Start)+(Pay_Num)*12/Num_Pmt_Per_Year,DAY(Loan_Start)),"")</f>
        <v>49400</v>
      </c>
      <c r="C149" s="70">
        <f>IF(Pay_Num&lt;&gt;"",I148,"")</f>
        <v>0</v>
      </c>
      <c r="D149" s="70">
        <f>IF(Pay_Num&lt;&gt;"",Scheduled_Monthly_Payment,"")</f>
        <v>2418.3976845093252</v>
      </c>
      <c r="E149" s="71">
        <f>IF(AND(Pay_Num&lt;&gt;"",Sched_Pay+Scheduled_Extra_Payments&lt;Beg_Bal),Scheduled_Extra_Payments,IF(AND(Pay_Num&lt;&gt;"",Beg_Bal-Sched_Pay&gt;0),Beg_Bal-Sched_Pay,IF(Pay_Num&lt;&gt;"",0,"")))</f>
        <v>0</v>
      </c>
      <c r="F149" s="70">
        <f>IF(AND(Pay_Num&lt;&gt;"",Sched_Pay+Extra_Pay&lt;Beg_Bal),Sched_Pay+Extra_Pay,IF(Pay_Num&lt;&gt;"",Beg_Bal,""))</f>
        <v>0</v>
      </c>
      <c r="G149" s="70">
        <f>IF(Pay_Num&lt;&gt;"",Total_Pay-Int,"")</f>
        <v>0</v>
      </c>
      <c r="H149" s="70">
        <f>IF(Pay_Num&lt;&gt;"",Beg_Bal*Interest_Rate/Num_Pmt_Per_Year,"")</f>
        <v>0</v>
      </c>
      <c r="I149" s="70">
        <f>IF(AND(Pay_Num&lt;&gt;"",Sched_Pay+Extra_Pay&lt;Beg_Bal),Beg_Bal-Princ,IF(Pay_Num&lt;&gt;"",0,""))</f>
        <v>0</v>
      </c>
      <c r="J149" s="70">
        <f>SUM($H$18:$H149)</f>
        <v>8041.5444282238004</v>
      </c>
    </row>
    <row r="150" spans="1:10" x14ac:dyDescent="0.3">
      <c r="A150" s="36">
        <f>IF(Values_Entered,A149+1,"")</f>
        <v>133</v>
      </c>
      <c r="B150" s="35">
        <f>IF(Pay_Num&lt;&gt;"",DATE(YEAR(Loan_Start),MONTH(Loan_Start)+(Pay_Num)*12/Num_Pmt_Per_Year,DAY(Loan_Start)),"")</f>
        <v>49430</v>
      </c>
      <c r="C150" s="70">
        <f>IF(Pay_Num&lt;&gt;"",I149,"")</f>
        <v>0</v>
      </c>
      <c r="D150" s="70">
        <f>IF(Pay_Num&lt;&gt;"",Scheduled_Monthly_Payment,"")</f>
        <v>2418.3976845093252</v>
      </c>
      <c r="E150" s="71">
        <f>IF(AND(Pay_Num&lt;&gt;"",Sched_Pay+Scheduled_Extra_Payments&lt;Beg_Bal),Scheduled_Extra_Payments,IF(AND(Pay_Num&lt;&gt;"",Beg_Bal-Sched_Pay&gt;0),Beg_Bal-Sched_Pay,IF(Pay_Num&lt;&gt;"",0,"")))</f>
        <v>0</v>
      </c>
      <c r="F150" s="70">
        <f>IF(AND(Pay_Num&lt;&gt;"",Sched_Pay+Extra_Pay&lt;Beg_Bal),Sched_Pay+Extra_Pay,IF(Pay_Num&lt;&gt;"",Beg_Bal,""))</f>
        <v>0</v>
      </c>
      <c r="G150" s="70">
        <f>IF(Pay_Num&lt;&gt;"",Total_Pay-Int,"")</f>
        <v>0</v>
      </c>
      <c r="H150" s="70">
        <f>IF(Pay_Num&lt;&gt;"",Beg_Bal*Interest_Rate/Num_Pmt_Per_Year,"")</f>
        <v>0</v>
      </c>
      <c r="I150" s="70">
        <f>IF(AND(Pay_Num&lt;&gt;"",Sched_Pay+Extra_Pay&lt;Beg_Bal),Beg_Bal-Princ,IF(Pay_Num&lt;&gt;"",0,""))</f>
        <v>0</v>
      </c>
      <c r="J150" s="70">
        <f>SUM($H$18:$H150)</f>
        <v>8041.5444282238004</v>
      </c>
    </row>
    <row r="151" spans="1:10" x14ac:dyDescent="0.3">
      <c r="A151" s="36">
        <f>IF(Values_Entered,A150+1,"")</f>
        <v>134</v>
      </c>
      <c r="B151" s="35">
        <f>IF(Pay_Num&lt;&gt;"",DATE(YEAR(Loan_Start),MONTH(Loan_Start)+(Pay_Num)*12/Num_Pmt_Per_Year,DAY(Loan_Start)),"")</f>
        <v>49461</v>
      </c>
      <c r="C151" s="70">
        <f>IF(Pay_Num&lt;&gt;"",I150,"")</f>
        <v>0</v>
      </c>
      <c r="D151" s="70">
        <f>IF(Pay_Num&lt;&gt;"",Scheduled_Monthly_Payment,"")</f>
        <v>2418.3976845093252</v>
      </c>
      <c r="E151" s="71">
        <f>IF(AND(Pay_Num&lt;&gt;"",Sched_Pay+Scheduled_Extra_Payments&lt;Beg_Bal),Scheduled_Extra_Payments,IF(AND(Pay_Num&lt;&gt;"",Beg_Bal-Sched_Pay&gt;0),Beg_Bal-Sched_Pay,IF(Pay_Num&lt;&gt;"",0,"")))</f>
        <v>0</v>
      </c>
      <c r="F151" s="70">
        <f>IF(AND(Pay_Num&lt;&gt;"",Sched_Pay+Extra_Pay&lt;Beg_Bal),Sched_Pay+Extra_Pay,IF(Pay_Num&lt;&gt;"",Beg_Bal,""))</f>
        <v>0</v>
      </c>
      <c r="G151" s="70">
        <f>IF(Pay_Num&lt;&gt;"",Total_Pay-Int,"")</f>
        <v>0</v>
      </c>
      <c r="H151" s="70">
        <f>IF(Pay_Num&lt;&gt;"",Beg_Bal*Interest_Rate/Num_Pmt_Per_Year,"")</f>
        <v>0</v>
      </c>
      <c r="I151" s="70">
        <f>IF(AND(Pay_Num&lt;&gt;"",Sched_Pay+Extra_Pay&lt;Beg_Bal),Beg_Bal-Princ,IF(Pay_Num&lt;&gt;"",0,""))</f>
        <v>0</v>
      </c>
      <c r="J151" s="70">
        <f>SUM($H$18:$H151)</f>
        <v>8041.5444282238004</v>
      </c>
    </row>
    <row r="152" spans="1:10" x14ac:dyDescent="0.3">
      <c r="A152" s="36">
        <f>IF(Values_Entered,A151+1,"")</f>
        <v>135</v>
      </c>
      <c r="B152" s="35">
        <f>IF(Pay_Num&lt;&gt;"",DATE(YEAR(Loan_Start),MONTH(Loan_Start)+(Pay_Num)*12/Num_Pmt_Per_Year,DAY(Loan_Start)),"")</f>
        <v>49491</v>
      </c>
      <c r="C152" s="70">
        <f>IF(Pay_Num&lt;&gt;"",I151,"")</f>
        <v>0</v>
      </c>
      <c r="D152" s="70">
        <f>IF(Pay_Num&lt;&gt;"",Scheduled_Monthly_Payment,"")</f>
        <v>2418.3976845093252</v>
      </c>
      <c r="E152" s="71">
        <f>IF(AND(Pay_Num&lt;&gt;"",Sched_Pay+Scheduled_Extra_Payments&lt;Beg_Bal),Scheduled_Extra_Payments,IF(AND(Pay_Num&lt;&gt;"",Beg_Bal-Sched_Pay&gt;0),Beg_Bal-Sched_Pay,IF(Pay_Num&lt;&gt;"",0,"")))</f>
        <v>0</v>
      </c>
      <c r="F152" s="70">
        <f>IF(AND(Pay_Num&lt;&gt;"",Sched_Pay+Extra_Pay&lt;Beg_Bal),Sched_Pay+Extra_Pay,IF(Pay_Num&lt;&gt;"",Beg_Bal,""))</f>
        <v>0</v>
      </c>
      <c r="G152" s="70">
        <f>IF(Pay_Num&lt;&gt;"",Total_Pay-Int,"")</f>
        <v>0</v>
      </c>
      <c r="H152" s="70">
        <f>IF(Pay_Num&lt;&gt;"",Beg_Bal*Interest_Rate/Num_Pmt_Per_Year,"")</f>
        <v>0</v>
      </c>
      <c r="I152" s="70">
        <f>IF(AND(Pay_Num&lt;&gt;"",Sched_Pay+Extra_Pay&lt;Beg_Bal),Beg_Bal-Princ,IF(Pay_Num&lt;&gt;"",0,""))</f>
        <v>0</v>
      </c>
      <c r="J152" s="70">
        <f>SUM($H$18:$H152)</f>
        <v>8041.5444282238004</v>
      </c>
    </row>
    <row r="153" spans="1:10" x14ac:dyDescent="0.3">
      <c r="A153" s="36">
        <f>IF(Values_Entered,A152+1,"")</f>
        <v>136</v>
      </c>
      <c r="B153" s="35">
        <f>IF(Pay_Num&lt;&gt;"",DATE(YEAR(Loan_Start),MONTH(Loan_Start)+(Pay_Num)*12/Num_Pmt_Per_Year,DAY(Loan_Start)),"")</f>
        <v>49522</v>
      </c>
      <c r="C153" s="70">
        <f>IF(Pay_Num&lt;&gt;"",I152,"")</f>
        <v>0</v>
      </c>
      <c r="D153" s="70">
        <f>IF(Pay_Num&lt;&gt;"",Scheduled_Monthly_Payment,"")</f>
        <v>2418.3976845093252</v>
      </c>
      <c r="E153" s="71">
        <f>IF(AND(Pay_Num&lt;&gt;"",Sched_Pay+Scheduled_Extra_Payments&lt;Beg_Bal),Scheduled_Extra_Payments,IF(AND(Pay_Num&lt;&gt;"",Beg_Bal-Sched_Pay&gt;0),Beg_Bal-Sched_Pay,IF(Pay_Num&lt;&gt;"",0,"")))</f>
        <v>0</v>
      </c>
      <c r="F153" s="70">
        <f>IF(AND(Pay_Num&lt;&gt;"",Sched_Pay+Extra_Pay&lt;Beg_Bal),Sched_Pay+Extra_Pay,IF(Pay_Num&lt;&gt;"",Beg_Bal,""))</f>
        <v>0</v>
      </c>
      <c r="G153" s="70">
        <f>IF(Pay_Num&lt;&gt;"",Total_Pay-Int,"")</f>
        <v>0</v>
      </c>
      <c r="H153" s="70">
        <f>IF(Pay_Num&lt;&gt;"",Beg_Bal*Interest_Rate/Num_Pmt_Per_Year,"")</f>
        <v>0</v>
      </c>
      <c r="I153" s="70">
        <f>IF(AND(Pay_Num&lt;&gt;"",Sched_Pay+Extra_Pay&lt;Beg_Bal),Beg_Bal-Princ,IF(Pay_Num&lt;&gt;"",0,""))</f>
        <v>0</v>
      </c>
      <c r="J153" s="70">
        <f>SUM($H$18:$H153)</f>
        <v>8041.5444282238004</v>
      </c>
    </row>
    <row r="154" spans="1:10" x14ac:dyDescent="0.3">
      <c r="A154" s="36">
        <f>IF(Values_Entered,A153+1,"")</f>
        <v>137</v>
      </c>
      <c r="B154" s="35">
        <f>IF(Pay_Num&lt;&gt;"",DATE(YEAR(Loan_Start),MONTH(Loan_Start)+(Pay_Num)*12/Num_Pmt_Per_Year,DAY(Loan_Start)),"")</f>
        <v>49553</v>
      </c>
      <c r="C154" s="70">
        <f>IF(Pay_Num&lt;&gt;"",I153,"")</f>
        <v>0</v>
      </c>
      <c r="D154" s="70">
        <f>IF(Pay_Num&lt;&gt;"",Scheduled_Monthly_Payment,"")</f>
        <v>2418.3976845093252</v>
      </c>
      <c r="E154" s="71">
        <f>IF(AND(Pay_Num&lt;&gt;"",Sched_Pay+Scheduled_Extra_Payments&lt;Beg_Bal),Scheduled_Extra_Payments,IF(AND(Pay_Num&lt;&gt;"",Beg_Bal-Sched_Pay&gt;0),Beg_Bal-Sched_Pay,IF(Pay_Num&lt;&gt;"",0,"")))</f>
        <v>0</v>
      </c>
      <c r="F154" s="70">
        <f>IF(AND(Pay_Num&lt;&gt;"",Sched_Pay+Extra_Pay&lt;Beg_Bal),Sched_Pay+Extra_Pay,IF(Pay_Num&lt;&gt;"",Beg_Bal,""))</f>
        <v>0</v>
      </c>
      <c r="G154" s="70">
        <f>IF(Pay_Num&lt;&gt;"",Total_Pay-Int,"")</f>
        <v>0</v>
      </c>
      <c r="H154" s="70">
        <f>IF(Pay_Num&lt;&gt;"",Beg_Bal*Interest_Rate/Num_Pmt_Per_Year,"")</f>
        <v>0</v>
      </c>
      <c r="I154" s="70">
        <f>IF(AND(Pay_Num&lt;&gt;"",Sched_Pay+Extra_Pay&lt;Beg_Bal),Beg_Bal-Princ,IF(Pay_Num&lt;&gt;"",0,""))</f>
        <v>0</v>
      </c>
      <c r="J154" s="70">
        <f>SUM($H$18:$H154)</f>
        <v>8041.5444282238004</v>
      </c>
    </row>
    <row r="155" spans="1:10" x14ac:dyDescent="0.3">
      <c r="A155" s="36">
        <f>IF(Values_Entered,A154+1,"")</f>
        <v>138</v>
      </c>
      <c r="B155" s="35">
        <f>IF(Pay_Num&lt;&gt;"",DATE(YEAR(Loan_Start),MONTH(Loan_Start)+(Pay_Num)*12/Num_Pmt_Per_Year,DAY(Loan_Start)),"")</f>
        <v>49583</v>
      </c>
      <c r="C155" s="70">
        <f>IF(Pay_Num&lt;&gt;"",I154,"")</f>
        <v>0</v>
      </c>
      <c r="D155" s="70">
        <f>IF(Pay_Num&lt;&gt;"",Scheduled_Monthly_Payment,"")</f>
        <v>2418.3976845093252</v>
      </c>
      <c r="E155" s="71">
        <f>IF(AND(Pay_Num&lt;&gt;"",Sched_Pay+Scheduled_Extra_Payments&lt;Beg_Bal),Scheduled_Extra_Payments,IF(AND(Pay_Num&lt;&gt;"",Beg_Bal-Sched_Pay&gt;0),Beg_Bal-Sched_Pay,IF(Pay_Num&lt;&gt;"",0,"")))</f>
        <v>0</v>
      </c>
      <c r="F155" s="70">
        <f>IF(AND(Pay_Num&lt;&gt;"",Sched_Pay+Extra_Pay&lt;Beg_Bal),Sched_Pay+Extra_Pay,IF(Pay_Num&lt;&gt;"",Beg_Bal,""))</f>
        <v>0</v>
      </c>
      <c r="G155" s="70">
        <f>IF(Pay_Num&lt;&gt;"",Total_Pay-Int,"")</f>
        <v>0</v>
      </c>
      <c r="H155" s="70">
        <f>IF(Pay_Num&lt;&gt;"",Beg_Bal*Interest_Rate/Num_Pmt_Per_Year,"")</f>
        <v>0</v>
      </c>
      <c r="I155" s="70">
        <f>IF(AND(Pay_Num&lt;&gt;"",Sched_Pay+Extra_Pay&lt;Beg_Bal),Beg_Bal-Princ,IF(Pay_Num&lt;&gt;"",0,""))</f>
        <v>0</v>
      </c>
      <c r="J155" s="70">
        <f>SUM($H$18:$H155)</f>
        <v>8041.5444282238004</v>
      </c>
    </row>
    <row r="156" spans="1:10" x14ac:dyDescent="0.3">
      <c r="A156" s="36">
        <f>IF(Values_Entered,A155+1,"")</f>
        <v>139</v>
      </c>
      <c r="B156" s="35">
        <f>IF(Pay_Num&lt;&gt;"",DATE(YEAR(Loan_Start),MONTH(Loan_Start)+(Pay_Num)*12/Num_Pmt_Per_Year,DAY(Loan_Start)),"")</f>
        <v>49614</v>
      </c>
      <c r="C156" s="70">
        <f>IF(Pay_Num&lt;&gt;"",I155,"")</f>
        <v>0</v>
      </c>
      <c r="D156" s="70">
        <f>IF(Pay_Num&lt;&gt;"",Scheduled_Monthly_Payment,"")</f>
        <v>2418.3976845093252</v>
      </c>
      <c r="E156" s="71">
        <f>IF(AND(Pay_Num&lt;&gt;"",Sched_Pay+Scheduled_Extra_Payments&lt;Beg_Bal),Scheduled_Extra_Payments,IF(AND(Pay_Num&lt;&gt;"",Beg_Bal-Sched_Pay&gt;0),Beg_Bal-Sched_Pay,IF(Pay_Num&lt;&gt;"",0,"")))</f>
        <v>0</v>
      </c>
      <c r="F156" s="70">
        <f>IF(AND(Pay_Num&lt;&gt;"",Sched_Pay+Extra_Pay&lt;Beg_Bal),Sched_Pay+Extra_Pay,IF(Pay_Num&lt;&gt;"",Beg_Bal,""))</f>
        <v>0</v>
      </c>
      <c r="G156" s="70">
        <f>IF(Pay_Num&lt;&gt;"",Total_Pay-Int,"")</f>
        <v>0</v>
      </c>
      <c r="H156" s="70">
        <f>IF(Pay_Num&lt;&gt;"",Beg_Bal*Interest_Rate/Num_Pmt_Per_Year,"")</f>
        <v>0</v>
      </c>
      <c r="I156" s="70">
        <f>IF(AND(Pay_Num&lt;&gt;"",Sched_Pay+Extra_Pay&lt;Beg_Bal),Beg_Bal-Princ,IF(Pay_Num&lt;&gt;"",0,""))</f>
        <v>0</v>
      </c>
      <c r="J156" s="70">
        <f>SUM($H$18:$H156)</f>
        <v>8041.5444282238004</v>
      </c>
    </row>
    <row r="157" spans="1:10" x14ac:dyDescent="0.3">
      <c r="A157" s="36">
        <f>IF(Values_Entered,A156+1,"")</f>
        <v>140</v>
      </c>
      <c r="B157" s="35">
        <f>IF(Pay_Num&lt;&gt;"",DATE(YEAR(Loan_Start),MONTH(Loan_Start)+(Pay_Num)*12/Num_Pmt_Per_Year,DAY(Loan_Start)),"")</f>
        <v>49644</v>
      </c>
      <c r="C157" s="70">
        <f>IF(Pay_Num&lt;&gt;"",I156,"")</f>
        <v>0</v>
      </c>
      <c r="D157" s="70">
        <f>IF(Pay_Num&lt;&gt;"",Scheduled_Monthly_Payment,"")</f>
        <v>2418.3976845093252</v>
      </c>
      <c r="E157" s="71">
        <f>IF(AND(Pay_Num&lt;&gt;"",Sched_Pay+Scheduled_Extra_Payments&lt;Beg_Bal),Scheduled_Extra_Payments,IF(AND(Pay_Num&lt;&gt;"",Beg_Bal-Sched_Pay&gt;0),Beg_Bal-Sched_Pay,IF(Pay_Num&lt;&gt;"",0,"")))</f>
        <v>0</v>
      </c>
      <c r="F157" s="70">
        <f>IF(AND(Pay_Num&lt;&gt;"",Sched_Pay+Extra_Pay&lt;Beg_Bal),Sched_Pay+Extra_Pay,IF(Pay_Num&lt;&gt;"",Beg_Bal,""))</f>
        <v>0</v>
      </c>
      <c r="G157" s="70">
        <f>IF(Pay_Num&lt;&gt;"",Total_Pay-Int,"")</f>
        <v>0</v>
      </c>
      <c r="H157" s="70">
        <f>IF(Pay_Num&lt;&gt;"",Beg_Bal*Interest_Rate/Num_Pmt_Per_Year,"")</f>
        <v>0</v>
      </c>
      <c r="I157" s="70">
        <f>IF(AND(Pay_Num&lt;&gt;"",Sched_Pay+Extra_Pay&lt;Beg_Bal),Beg_Bal-Princ,IF(Pay_Num&lt;&gt;"",0,""))</f>
        <v>0</v>
      </c>
      <c r="J157" s="70">
        <f>SUM($H$18:$H157)</f>
        <v>8041.5444282238004</v>
      </c>
    </row>
    <row r="158" spans="1:10" x14ac:dyDescent="0.3">
      <c r="A158" s="36">
        <f>IF(Values_Entered,A157+1,"")</f>
        <v>141</v>
      </c>
      <c r="B158" s="35">
        <f>IF(Pay_Num&lt;&gt;"",DATE(YEAR(Loan_Start),MONTH(Loan_Start)+(Pay_Num)*12/Num_Pmt_Per_Year,DAY(Loan_Start)),"")</f>
        <v>49675</v>
      </c>
      <c r="C158" s="70">
        <f>IF(Pay_Num&lt;&gt;"",I157,"")</f>
        <v>0</v>
      </c>
      <c r="D158" s="70">
        <f>IF(Pay_Num&lt;&gt;"",Scheduled_Monthly_Payment,"")</f>
        <v>2418.3976845093252</v>
      </c>
      <c r="E158" s="71">
        <f>IF(AND(Pay_Num&lt;&gt;"",Sched_Pay+Scheduled_Extra_Payments&lt;Beg_Bal),Scheduled_Extra_Payments,IF(AND(Pay_Num&lt;&gt;"",Beg_Bal-Sched_Pay&gt;0),Beg_Bal-Sched_Pay,IF(Pay_Num&lt;&gt;"",0,"")))</f>
        <v>0</v>
      </c>
      <c r="F158" s="70">
        <f>IF(AND(Pay_Num&lt;&gt;"",Sched_Pay+Extra_Pay&lt;Beg_Bal),Sched_Pay+Extra_Pay,IF(Pay_Num&lt;&gt;"",Beg_Bal,""))</f>
        <v>0</v>
      </c>
      <c r="G158" s="70">
        <f>IF(Pay_Num&lt;&gt;"",Total_Pay-Int,"")</f>
        <v>0</v>
      </c>
      <c r="H158" s="70">
        <f>IF(Pay_Num&lt;&gt;"",Beg_Bal*Interest_Rate/Num_Pmt_Per_Year,"")</f>
        <v>0</v>
      </c>
      <c r="I158" s="70">
        <f>IF(AND(Pay_Num&lt;&gt;"",Sched_Pay+Extra_Pay&lt;Beg_Bal),Beg_Bal-Princ,IF(Pay_Num&lt;&gt;"",0,""))</f>
        <v>0</v>
      </c>
      <c r="J158" s="70">
        <f>SUM($H$18:$H158)</f>
        <v>8041.5444282238004</v>
      </c>
    </row>
    <row r="159" spans="1:10" x14ac:dyDescent="0.3">
      <c r="A159" s="36">
        <f>IF(Values_Entered,A158+1,"")</f>
        <v>142</v>
      </c>
      <c r="B159" s="35">
        <f>IF(Pay_Num&lt;&gt;"",DATE(YEAR(Loan_Start),MONTH(Loan_Start)+(Pay_Num)*12/Num_Pmt_Per_Year,DAY(Loan_Start)),"")</f>
        <v>49706</v>
      </c>
      <c r="C159" s="70">
        <f>IF(Pay_Num&lt;&gt;"",I158,"")</f>
        <v>0</v>
      </c>
      <c r="D159" s="70">
        <f>IF(Pay_Num&lt;&gt;"",Scheduled_Monthly_Payment,"")</f>
        <v>2418.3976845093252</v>
      </c>
      <c r="E159" s="71">
        <f>IF(AND(Pay_Num&lt;&gt;"",Sched_Pay+Scheduled_Extra_Payments&lt;Beg_Bal),Scheduled_Extra_Payments,IF(AND(Pay_Num&lt;&gt;"",Beg_Bal-Sched_Pay&gt;0),Beg_Bal-Sched_Pay,IF(Pay_Num&lt;&gt;"",0,"")))</f>
        <v>0</v>
      </c>
      <c r="F159" s="70">
        <f>IF(AND(Pay_Num&lt;&gt;"",Sched_Pay+Extra_Pay&lt;Beg_Bal),Sched_Pay+Extra_Pay,IF(Pay_Num&lt;&gt;"",Beg_Bal,""))</f>
        <v>0</v>
      </c>
      <c r="G159" s="70">
        <f>IF(Pay_Num&lt;&gt;"",Total_Pay-Int,"")</f>
        <v>0</v>
      </c>
      <c r="H159" s="70">
        <f>IF(Pay_Num&lt;&gt;"",Beg_Bal*Interest_Rate/Num_Pmt_Per_Year,"")</f>
        <v>0</v>
      </c>
      <c r="I159" s="70">
        <f>IF(AND(Pay_Num&lt;&gt;"",Sched_Pay+Extra_Pay&lt;Beg_Bal),Beg_Bal-Princ,IF(Pay_Num&lt;&gt;"",0,""))</f>
        <v>0</v>
      </c>
      <c r="J159" s="70">
        <f>SUM($H$18:$H159)</f>
        <v>8041.5444282238004</v>
      </c>
    </row>
    <row r="160" spans="1:10" x14ac:dyDescent="0.3">
      <c r="A160" s="36">
        <f>IF(Values_Entered,A159+1,"")</f>
        <v>143</v>
      </c>
      <c r="B160" s="35">
        <f>IF(Pay_Num&lt;&gt;"",DATE(YEAR(Loan_Start),MONTH(Loan_Start)+(Pay_Num)*12/Num_Pmt_Per_Year,DAY(Loan_Start)),"")</f>
        <v>49735</v>
      </c>
      <c r="C160" s="70">
        <f>IF(Pay_Num&lt;&gt;"",I159,"")</f>
        <v>0</v>
      </c>
      <c r="D160" s="70">
        <f>IF(Pay_Num&lt;&gt;"",Scheduled_Monthly_Payment,"")</f>
        <v>2418.3976845093252</v>
      </c>
      <c r="E160" s="71">
        <f>IF(AND(Pay_Num&lt;&gt;"",Sched_Pay+Scheduled_Extra_Payments&lt;Beg_Bal),Scheduled_Extra_Payments,IF(AND(Pay_Num&lt;&gt;"",Beg_Bal-Sched_Pay&gt;0),Beg_Bal-Sched_Pay,IF(Pay_Num&lt;&gt;"",0,"")))</f>
        <v>0</v>
      </c>
      <c r="F160" s="70">
        <f>IF(AND(Pay_Num&lt;&gt;"",Sched_Pay+Extra_Pay&lt;Beg_Bal),Sched_Pay+Extra_Pay,IF(Pay_Num&lt;&gt;"",Beg_Bal,""))</f>
        <v>0</v>
      </c>
      <c r="G160" s="70">
        <f>IF(Pay_Num&lt;&gt;"",Total_Pay-Int,"")</f>
        <v>0</v>
      </c>
      <c r="H160" s="70">
        <f>IF(Pay_Num&lt;&gt;"",Beg_Bal*Interest_Rate/Num_Pmt_Per_Year,"")</f>
        <v>0</v>
      </c>
      <c r="I160" s="70">
        <f>IF(AND(Pay_Num&lt;&gt;"",Sched_Pay+Extra_Pay&lt;Beg_Bal),Beg_Bal-Princ,IF(Pay_Num&lt;&gt;"",0,""))</f>
        <v>0</v>
      </c>
      <c r="J160" s="70">
        <f>SUM($H$18:$H160)</f>
        <v>8041.5444282238004</v>
      </c>
    </row>
    <row r="161" spans="1:10" x14ac:dyDescent="0.3">
      <c r="A161" s="36">
        <f>IF(Values_Entered,A160+1,"")</f>
        <v>144</v>
      </c>
      <c r="B161" s="35">
        <f>IF(Pay_Num&lt;&gt;"",DATE(YEAR(Loan_Start),MONTH(Loan_Start)+(Pay_Num)*12/Num_Pmt_Per_Year,DAY(Loan_Start)),"")</f>
        <v>49766</v>
      </c>
      <c r="C161" s="70">
        <f>IF(Pay_Num&lt;&gt;"",I160,"")</f>
        <v>0</v>
      </c>
      <c r="D161" s="70">
        <f>IF(Pay_Num&lt;&gt;"",Scheduled_Monthly_Payment,"")</f>
        <v>2418.3976845093252</v>
      </c>
      <c r="E161" s="71">
        <f>IF(AND(Pay_Num&lt;&gt;"",Sched_Pay+Scheduled_Extra_Payments&lt;Beg_Bal),Scheduled_Extra_Payments,IF(AND(Pay_Num&lt;&gt;"",Beg_Bal-Sched_Pay&gt;0),Beg_Bal-Sched_Pay,IF(Pay_Num&lt;&gt;"",0,"")))</f>
        <v>0</v>
      </c>
      <c r="F161" s="70">
        <f>IF(AND(Pay_Num&lt;&gt;"",Sched_Pay+Extra_Pay&lt;Beg_Bal),Sched_Pay+Extra_Pay,IF(Pay_Num&lt;&gt;"",Beg_Bal,""))</f>
        <v>0</v>
      </c>
      <c r="G161" s="70">
        <f>IF(Pay_Num&lt;&gt;"",Total_Pay-Int,"")</f>
        <v>0</v>
      </c>
      <c r="H161" s="70">
        <f>IF(Pay_Num&lt;&gt;"",Beg_Bal*Interest_Rate/Num_Pmt_Per_Year,"")</f>
        <v>0</v>
      </c>
      <c r="I161" s="70">
        <f>IF(AND(Pay_Num&lt;&gt;"",Sched_Pay+Extra_Pay&lt;Beg_Bal),Beg_Bal-Princ,IF(Pay_Num&lt;&gt;"",0,""))</f>
        <v>0</v>
      </c>
      <c r="J161" s="70">
        <f>SUM($H$18:$H161)</f>
        <v>8041.5444282238004</v>
      </c>
    </row>
    <row r="162" spans="1:10" x14ac:dyDescent="0.3">
      <c r="A162" s="36">
        <f>IF(Values_Entered,A161+1,"")</f>
        <v>145</v>
      </c>
      <c r="B162" s="35">
        <f>IF(Pay_Num&lt;&gt;"",DATE(YEAR(Loan_Start),MONTH(Loan_Start)+(Pay_Num)*12/Num_Pmt_Per_Year,DAY(Loan_Start)),"")</f>
        <v>49796</v>
      </c>
      <c r="C162" s="70">
        <f>IF(Pay_Num&lt;&gt;"",I161,"")</f>
        <v>0</v>
      </c>
      <c r="D162" s="70">
        <f>IF(Pay_Num&lt;&gt;"",Scheduled_Monthly_Payment,"")</f>
        <v>2418.3976845093252</v>
      </c>
      <c r="E162" s="71">
        <f>IF(AND(Pay_Num&lt;&gt;"",Sched_Pay+Scheduled_Extra_Payments&lt;Beg_Bal),Scheduled_Extra_Payments,IF(AND(Pay_Num&lt;&gt;"",Beg_Bal-Sched_Pay&gt;0),Beg_Bal-Sched_Pay,IF(Pay_Num&lt;&gt;"",0,"")))</f>
        <v>0</v>
      </c>
      <c r="F162" s="70">
        <f>IF(AND(Pay_Num&lt;&gt;"",Sched_Pay+Extra_Pay&lt;Beg_Bal),Sched_Pay+Extra_Pay,IF(Pay_Num&lt;&gt;"",Beg_Bal,""))</f>
        <v>0</v>
      </c>
      <c r="G162" s="70">
        <f>IF(Pay_Num&lt;&gt;"",Total_Pay-Int,"")</f>
        <v>0</v>
      </c>
      <c r="H162" s="70">
        <f>IF(Pay_Num&lt;&gt;"",Beg_Bal*Interest_Rate/Num_Pmt_Per_Year,"")</f>
        <v>0</v>
      </c>
      <c r="I162" s="70">
        <f>IF(AND(Pay_Num&lt;&gt;"",Sched_Pay+Extra_Pay&lt;Beg_Bal),Beg_Bal-Princ,IF(Pay_Num&lt;&gt;"",0,""))</f>
        <v>0</v>
      </c>
      <c r="J162" s="70">
        <f>SUM($H$18:$H162)</f>
        <v>8041.5444282238004</v>
      </c>
    </row>
    <row r="163" spans="1:10" x14ac:dyDescent="0.3">
      <c r="A163" s="36">
        <f>IF(Values_Entered,A162+1,"")</f>
        <v>146</v>
      </c>
      <c r="B163" s="35">
        <f>IF(Pay_Num&lt;&gt;"",DATE(YEAR(Loan_Start),MONTH(Loan_Start)+(Pay_Num)*12/Num_Pmt_Per_Year,DAY(Loan_Start)),"")</f>
        <v>49827</v>
      </c>
      <c r="C163" s="70">
        <f>IF(Pay_Num&lt;&gt;"",I162,"")</f>
        <v>0</v>
      </c>
      <c r="D163" s="70">
        <f>IF(Pay_Num&lt;&gt;"",Scheduled_Monthly_Payment,"")</f>
        <v>2418.3976845093252</v>
      </c>
      <c r="E163" s="71">
        <f>IF(AND(Pay_Num&lt;&gt;"",Sched_Pay+Scheduled_Extra_Payments&lt;Beg_Bal),Scheduled_Extra_Payments,IF(AND(Pay_Num&lt;&gt;"",Beg_Bal-Sched_Pay&gt;0),Beg_Bal-Sched_Pay,IF(Pay_Num&lt;&gt;"",0,"")))</f>
        <v>0</v>
      </c>
      <c r="F163" s="70">
        <f>IF(AND(Pay_Num&lt;&gt;"",Sched_Pay+Extra_Pay&lt;Beg_Bal),Sched_Pay+Extra_Pay,IF(Pay_Num&lt;&gt;"",Beg_Bal,""))</f>
        <v>0</v>
      </c>
      <c r="G163" s="70">
        <f>IF(Pay_Num&lt;&gt;"",Total_Pay-Int,"")</f>
        <v>0</v>
      </c>
      <c r="H163" s="70">
        <f>IF(Pay_Num&lt;&gt;"",Beg_Bal*Interest_Rate/Num_Pmt_Per_Year,"")</f>
        <v>0</v>
      </c>
      <c r="I163" s="70">
        <f>IF(AND(Pay_Num&lt;&gt;"",Sched_Pay+Extra_Pay&lt;Beg_Bal),Beg_Bal-Princ,IF(Pay_Num&lt;&gt;"",0,""))</f>
        <v>0</v>
      </c>
      <c r="J163" s="70">
        <f>SUM($H$18:$H163)</f>
        <v>8041.5444282238004</v>
      </c>
    </row>
    <row r="164" spans="1:10" x14ac:dyDescent="0.3">
      <c r="A164" s="36">
        <f>IF(Values_Entered,A163+1,"")</f>
        <v>147</v>
      </c>
      <c r="B164" s="35">
        <f>IF(Pay_Num&lt;&gt;"",DATE(YEAR(Loan_Start),MONTH(Loan_Start)+(Pay_Num)*12/Num_Pmt_Per_Year,DAY(Loan_Start)),"")</f>
        <v>49857</v>
      </c>
      <c r="C164" s="70">
        <f>IF(Pay_Num&lt;&gt;"",I163,"")</f>
        <v>0</v>
      </c>
      <c r="D164" s="70">
        <f>IF(Pay_Num&lt;&gt;"",Scheduled_Monthly_Payment,"")</f>
        <v>2418.3976845093252</v>
      </c>
      <c r="E164" s="71">
        <f>IF(AND(Pay_Num&lt;&gt;"",Sched_Pay+Scheduled_Extra_Payments&lt;Beg_Bal),Scheduled_Extra_Payments,IF(AND(Pay_Num&lt;&gt;"",Beg_Bal-Sched_Pay&gt;0),Beg_Bal-Sched_Pay,IF(Pay_Num&lt;&gt;"",0,"")))</f>
        <v>0</v>
      </c>
      <c r="F164" s="70">
        <f>IF(AND(Pay_Num&lt;&gt;"",Sched_Pay+Extra_Pay&lt;Beg_Bal),Sched_Pay+Extra_Pay,IF(Pay_Num&lt;&gt;"",Beg_Bal,""))</f>
        <v>0</v>
      </c>
      <c r="G164" s="70">
        <f>IF(Pay_Num&lt;&gt;"",Total_Pay-Int,"")</f>
        <v>0</v>
      </c>
      <c r="H164" s="70">
        <f>IF(Pay_Num&lt;&gt;"",Beg_Bal*Interest_Rate/Num_Pmt_Per_Year,"")</f>
        <v>0</v>
      </c>
      <c r="I164" s="70">
        <f>IF(AND(Pay_Num&lt;&gt;"",Sched_Pay+Extra_Pay&lt;Beg_Bal),Beg_Bal-Princ,IF(Pay_Num&lt;&gt;"",0,""))</f>
        <v>0</v>
      </c>
      <c r="J164" s="70">
        <f>SUM($H$18:$H164)</f>
        <v>8041.5444282238004</v>
      </c>
    </row>
    <row r="165" spans="1:10" x14ac:dyDescent="0.3">
      <c r="A165" s="36">
        <f>IF(Values_Entered,A164+1,"")</f>
        <v>148</v>
      </c>
      <c r="B165" s="35">
        <f>IF(Pay_Num&lt;&gt;"",DATE(YEAR(Loan_Start),MONTH(Loan_Start)+(Pay_Num)*12/Num_Pmt_Per_Year,DAY(Loan_Start)),"")</f>
        <v>49888</v>
      </c>
      <c r="C165" s="70">
        <f>IF(Pay_Num&lt;&gt;"",I164,"")</f>
        <v>0</v>
      </c>
      <c r="D165" s="70">
        <f>IF(Pay_Num&lt;&gt;"",Scheduled_Monthly_Payment,"")</f>
        <v>2418.3976845093252</v>
      </c>
      <c r="E165" s="71">
        <f>IF(AND(Pay_Num&lt;&gt;"",Sched_Pay+Scheduled_Extra_Payments&lt;Beg_Bal),Scheduled_Extra_Payments,IF(AND(Pay_Num&lt;&gt;"",Beg_Bal-Sched_Pay&gt;0),Beg_Bal-Sched_Pay,IF(Pay_Num&lt;&gt;"",0,"")))</f>
        <v>0</v>
      </c>
      <c r="F165" s="70">
        <f>IF(AND(Pay_Num&lt;&gt;"",Sched_Pay+Extra_Pay&lt;Beg_Bal),Sched_Pay+Extra_Pay,IF(Pay_Num&lt;&gt;"",Beg_Bal,""))</f>
        <v>0</v>
      </c>
      <c r="G165" s="70">
        <f>IF(Pay_Num&lt;&gt;"",Total_Pay-Int,"")</f>
        <v>0</v>
      </c>
      <c r="H165" s="70">
        <f>IF(Pay_Num&lt;&gt;"",Beg_Bal*Interest_Rate/Num_Pmt_Per_Year,"")</f>
        <v>0</v>
      </c>
      <c r="I165" s="70">
        <f>IF(AND(Pay_Num&lt;&gt;"",Sched_Pay+Extra_Pay&lt;Beg_Bal),Beg_Bal-Princ,IF(Pay_Num&lt;&gt;"",0,""))</f>
        <v>0</v>
      </c>
      <c r="J165" s="70">
        <f>SUM($H$18:$H165)</f>
        <v>8041.5444282238004</v>
      </c>
    </row>
    <row r="166" spans="1:10" x14ac:dyDescent="0.3">
      <c r="A166" s="36">
        <f>IF(Values_Entered,A165+1,"")</f>
        <v>149</v>
      </c>
      <c r="B166" s="35">
        <f>IF(Pay_Num&lt;&gt;"",DATE(YEAR(Loan_Start),MONTH(Loan_Start)+(Pay_Num)*12/Num_Pmt_Per_Year,DAY(Loan_Start)),"")</f>
        <v>49919</v>
      </c>
      <c r="C166" s="70">
        <f>IF(Pay_Num&lt;&gt;"",I165,"")</f>
        <v>0</v>
      </c>
      <c r="D166" s="70">
        <f>IF(Pay_Num&lt;&gt;"",Scheduled_Monthly_Payment,"")</f>
        <v>2418.3976845093252</v>
      </c>
      <c r="E166" s="71">
        <f>IF(AND(Pay_Num&lt;&gt;"",Sched_Pay+Scheduled_Extra_Payments&lt;Beg_Bal),Scheduled_Extra_Payments,IF(AND(Pay_Num&lt;&gt;"",Beg_Bal-Sched_Pay&gt;0),Beg_Bal-Sched_Pay,IF(Pay_Num&lt;&gt;"",0,"")))</f>
        <v>0</v>
      </c>
      <c r="F166" s="70">
        <f>IF(AND(Pay_Num&lt;&gt;"",Sched_Pay+Extra_Pay&lt;Beg_Bal),Sched_Pay+Extra_Pay,IF(Pay_Num&lt;&gt;"",Beg_Bal,""))</f>
        <v>0</v>
      </c>
      <c r="G166" s="70">
        <f>IF(Pay_Num&lt;&gt;"",Total_Pay-Int,"")</f>
        <v>0</v>
      </c>
      <c r="H166" s="70">
        <f>IF(Pay_Num&lt;&gt;"",Beg_Bal*Interest_Rate/Num_Pmt_Per_Year,"")</f>
        <v>0</v>
      </c>
      <c r="I166" s="70">
        <f>IF(AND(Pay_Num&lt;&gt;"",Sched_Pay+Extra_Pay&lt;Beg_Bal),Beg_Bal-Princ,IF(Pay_Num&lt;&gt;"",0,""))</f>
        <v>0</v>
      </c>
      <c r="J166" s="70">
        <f>SUM($H$18:$H166)</f>
        <v>8041.5444282238004</v>
      </c>
    </row>
    <row r="167" spans="1:10" x14ac:dyDescent="0.3">
      <c r="A167" s="36">
        <f>IF(Values_Entered,A166+1,"")</f>
        <v>150</v>
      </c>
      <c r="B167" s="35">
        <f>IF(Pay_Num&lt;&gt;"",DATE(YEAR(Loan_Start),MONTH(Loan_Start)+(Pay_Num)*12/Num_Pmt_Per_Year,DAY(Loan_Start)),"")</f>
        <v>49949</v>
      </c>
      <c r="C167" s="70">
        <f>IF(Pay_Num&lt;&gt;"",I166,"")</f>
        <v>0</v>
      </c>
      <c r="D167" s="70">
        <f>IF(Pay_Num&lt;&gt;"",Scheduled_Monthly_Payment,"")</f>
        <v>2418.3976845093252</v>
      </c>
      <c r="E167" s="71">
        <f>IF(AND(Pay_Num&lt;&gt;"",Sched_Pay+Scheduled_Extra_Payments&lt;Beg_Bal),Scheduled_Extra_Payments,IF(AND(Pay_Num&lt;&gt;"",Beg_Bal-Sched_Pay&gt;0),Beg_Bal-Sched_Pay,IF(Pay_Num&lt;&gt;"",0,"")))</f>
        <v>0</v>
      </c>
      <c r="F167" s="70">
        <f>IF(AND(Pay_Num&lt;&gt;"",Sched_Pay+Extra_Pay&lt;Beg_Bal),Sched_Pay+Extra_Pay,IF(Pay_Num&lt;&gt;"",Beg_Bal,""))</f>
        <v>0</v>
      </c>
      <c r="G167" s="70">
        <f>IF(Pay_Num&lt;&gt;"",Total_Pay-Int,"")</f>
        <v>0</v>
      </c>
      <c r="H167" s="70">
        <f>IF(Pay_Num&lt;&gt;"",Beg_Bal*Interest_Rate/Num_Pmt_Per_Year,"")</f>
        <v>0</v>
      </c>
      <c r="I167" s="70">
        <f>IF(AND(Pay_Num&lt;&gt;"",Sched_Pay+Extra_Pay&lt;Beg_Bal),Beg_Bal-Princ,IF(Pay_Num&lt;&gt;"",0,""))</f>
        <v>0</v>
      </c>
      <c r="J167" s="70">
        <f>SUM($H$18:$H167)</f>
        <v>8041.5444282238004</v>
      </c>
    </row>
    <row r="168" spans="1:10" x14ac:dyDescent="0.3">
      <c r="A168" s="36">
        <f>IF(Values_Entered,A167+1,"")</f>
        <v>151</v>
      </c>
      <c r="B168" s="35">
        <f>IF(Pay_Num&lt;&gt;"",DATE(YEAR(Loan_Start),MONTH(Loan_Start)+(Pay_Num)*12/Num_Pmt_Per_Year,DAY(Loan_Start)),"")</f>
        <v>49980</v>
      </c>
      <c r="C168" s="70">
        <f>IF(Pay_Num&lt;&gt;"",I167,"")</f>
        <v>0</v>
      </c>
      <c r="D168" s="70">
        <f>IF(Pay_Num&lt;&gt;"",Scheduled_Monthly_Payment,"")</f>
        <v>2418.3976845093252</v>
      </c>
      <c r="E168" s="71">
        <f>IF(AND(Pay_Num&lt;&gt;"",Sched_Pay+Scheduled_Extra_Payments&lt;Beg_Bal),Scheduled_Extra_Payments,IF(AND(Pay_Num&lt;&gt;"",Beg_Bal-Sched_Pay&gt;0),Beg_Bal-Sched_Pay,IF(Pay_Num&lt;&gt;"",0,"")))</f>
        <v>0</v>
      </c>
      <c r="F168" s="70">
        <f>IF(AND(Pay_Num&lt;&gt;"",Sched_Pay+Extra_Pay&lt;Beg_Bal),Sched_Pay+Extra_Pay,IF(Pay_Num&lt;&gt;"",Beg_Bal,""))</f>
        <v>0</v>
      </c>
      <c r="G168" s="70">
        <f>IF(Pay_Num&lt;&gt;"",Total_Pay-Int,"")</f>
        <v>0</v>
      </c>
      <c r="H168" s="70">
        <f>IF(Pay_Num&lt;&gt;"",Beg_Bal*Interest_Rate/Num_Pmt_Per_Year,"")</f>
        <v>0</v>
      </c>
      <c r="I168" s="70">
        <f>IF(AND(Pay_Num&lt;&gt;"",Sched_Pay+Extra_Pay&lt;Beg_Bal),Beg_Bal-Princ,IF(Pay_Num&lt;&gt;"",0,""))</f>
        <v>0</v>
      </c>
      <c r="J168" s="70">
        <f>SUM($H$18:$H168)</f>
        <v>8041.5444282238004</v>
      </c>
    </row>
    <row r="169" spans="1:10" x14ac:dyDescent="0.3">
      <c r="A169" s="36">
        <f>IF(Values_Entered,A168+1,"")</f>
        <v>152</v>
      </c>
      <c r="B169" s="35">
        <f>IF(Pay_Num&lt;&gt;"",DATE(YEAR(Loan_Start),MONTH(Loan_Start)+(Pay_Num)*12/Num_Pmt_Per_Year,DAY(Loan_Start)),"")</f>
        <v>50010</v>
      </c>
      <c r="C169" s="70">
        <f>IF(Pay_Num&lt;&gt;"",I168,"")</f>
        <v>0</v>
      </c>
      <c r="D169" s="70">
        <f>IF(Pay_Num&lt;&gt;"",Scheduled_Monthly_Payment,"")</f>
        <v>2418.3976845093252</v>
      </c>
      <c r="E169" s="71">
        <f>IF(AND(Pay_Num&lt;&gt;"",Sched_Pay+Scheduled_Extra_Payments&lt;Beg_Bal),Scheduled_Extra_Payments,IF(AND(Pay_Num&lt;&gt;"",Beg_Bal-Sched_Pay&gt;0),Beg_Bal-Sched_Pay,IF(Pay_Num&lt;&gt;"",0,"")))</f>
        <v>0</v>
      </c>
      <c r="F169" s="70">
        <f>IF(AND(Pay_Num&lt;&gt;"",Sched_Pay+Extra_Pay&lt;Beg_Bal),Sched_Pay+Extra_Pay,IF(Pay_Num&lt;&gt;"",Beg_Bal,""))</f>
        <v>0</v>
      </c>
      <c r="G169" s="70">
        <f>IF(Pay_Num&lt;&gt;"",Total_Pay-Int,"")</f>
        <v>0</v>
      </c>
      <c r="H169" s="70">
        <f>IF(Pay_Num&lt;&gt;"",Beg_Bal*Interest_Rate/Num_Pmt_Per_Year,"")</f>
        <v>0</v>
      </c>
      <c r="I169" s="70">
        <f>IF(AND(Pay_Num&lt;&gt;"",Sched_Pay+Extra_Pay&lt;Beg_Bal),Beg_Bal-Princ,IF(Pay_Num&lt;&gt;"",0,""))</f>
        <v>0</v>
      </c>
      <c r="J169" s="70">
        <f>SUM($H$18:$H169)</f>
        <v>8041.5444282238004</v>
      </c>
    </row>
    <row r="170" spans="1:10" x14ac:dyDescent="0.3">
      <c r="A170" s="36">
        <f>IF(Values_Entered,A169+1,"")</f>
        <v>153</v>
      </c>
      <c r="B170" s="35">
        <f>IF(Pay_Num&lt;&gt;"",DATE(YEAR(Loan_Start),MONTH(Loan_Start)+(Pay_Num)*12/Num_Pmt_Per_Year,DAY(Loan_Start)),"")</f>
        <v>50041</v>
      </c>
      <c r="C170" s="70">
        <f>IF(Pay_Num&lt;&gt;"",I169,"")</f>
        <v>0</v>
      </c>
      <c r="D170" s="70">
        <f>IF(Pay_Num&lt;&gt;"",Scheduled_Monthly_Payment,"")</f>
        <v>2418.3976845093252</v>
      </c>
      <c r="E170" s="71">
        <f>IF(AND(Pay_Num&lt;&gt;"",Sched_Pay+Scheduled_Extra_Payments&lt;Beg_Bal),Scheduled_Extra_Payments,IF(AND(Pay_Num&lt;&gt;"",Beg_Bal-Sched_Pay&gt;0),Beg_Bal-Sched_Pay,IF(Pay_Num&lt;&gt;"",0,"")))</f>
        <v>0</v>
      </c>
      <c r="F170" s="70">
        <f>IF(AND(Pay_Num&lt;&gt;"",Sched_Pay+Extra_Pay&lt;Beg_Bal),Sched_Pay+Extra_Pay,IF(Pay_Num&lt;&gt;"",Beg_Bal,""))</f>
        <v>0</v>
      </c>
      <c r="G170" s="70">
        <f>IF(Pay_Num&lt;&gt;"",Total_Pay-Int,"")</f>
        <v>0</v>
      </c>
      <c r="H170" s="70">
        <f>IF(Pay_Num&lt;&gt;"",Beg_Bal*Interest_Rate/Num_Pmt_Per_Year,"")</f>
        <v>0</v>
      </c>
      <c r="I170" s="70">
        <f>IF(AND(Pay_Num&lt;&gt;"",Sched_Pay+Extra_Pay&lt;Beg_Bal),Beg_Bal-Princ,IF(Pay_Num&lt;&gt;"",0,""))</f>
        <v>0</v>
      </c>
      <c r="J170" s="70">
        <f>SUM($H$18:$H170)</f>
        <v>8041.5444282238004</v>
      </c>
    </row>
    <row r="171" spans="1:10" x14ac:dyDescent="0.3">
      <c r="A171" s="36">
        <f>IF(Values_Entered,A170+1,"")</f>
        <v>154</v>
      </c>
      <c r="B171" s="35">
        <f>IF(Pay_Num&lt;&gt;"",DATE(YEAR(Loan_Start),MONTH(Loan_Start)+(Pay_Num)*12/Num_Pmt_Per_Year,DAY(Loan_Start)),"")</f>
        <v>50072</v>
      </c>
      <c r="C171" s="70">
        <f>IF(Pay_Num&lt;&gt;"",I170,"")</f>
        <v>0</v>
      </c>
      <c r="D171" s="70">
        <f>IF(Pay_Num&lt;&gt;"",Scheduled_Monthly_Payment,"")</f>
        <v>2418.3976845093252</v>
      </c>
      <c r="E171" s="71">
        <f>IF(AND(Pay_Num&lt;&gt;"",Sched_Pay+Scheduled_Extra_Payments&lt;Beg_Bal),Scheduled_Extra_Payments,IF(AND(Pay_Num&lt;&gt;"",Beg_Bal-Sched_Pay&gt;0),Beg_Bal-Sched_Pay,IF(Pay_Num&lt;&gt;"",0,"")))</f>
        <v>0</v>
      </c>
      <c r="F171" s="70">
        <f>IF(AND(Pay_Num&lt;&gt;"",Sched_Pay+Extra_Pay&lt;Beg_Bal),Sched_Pay+Extra_Pay,IF(Pay_Num&lt;&gt;"",Beg_Bal,""))</f>
        <v>0</v>
      </c>
      <c r="G171" s="70">
        <f>IF(Pay_Num&lt;&gt;"",Total_Pay-Int,"")</f>
        <v>0</v>
      </c>
      <c r="H171" s="70">
        <f>IF(Pay_Num&lt;&gt;"",Beg_Bal*Interest_Rate/Num_Pmt_Per_Year,"")</f>
        <v>0</v>
      </c>
      <c r="I171" s="70">
        <f>IF(AND(Pay_Num&lt;&gt;"",Sched_Pay+Extra_Pay&lt;Beg_Bal),Beg_Bal-Princ,IF(Pay_Num&lt;&gt;"",0,""))</f>
        <v>0</v>
      </c>
      <c r="J171" s="70">
        <f>SUM($H$18:$H171)</f>
        <v>8041.5444282238004</v>
      </c>
    </row>
    <row r="172" spans="1:10" x14ac:dyDescent="0.3">
      <c r="A172" s="36">
        <f>IF(Values_Entered,A171+1,"")</f>
        <v>155</v>
      </c>
      <c r="B172" s="35">
        <f>IF(Pay_Num&lt;&gt;"",DATE(YEAR(Loan_Start),MONTH(Loan_Start)+(Pay_Num)*12/Num_Pmt_Per_Year,DAY(Loan_Start)),"")</f>
        <v>50100</v>
      </c>
      <c r="C172" s="70">
        <f>IF(Pay_Num&lt;&gt;"",I171,"")</f>
        <v>0</v>
      </c>
      <c r="D172" s="70">
        <f>IF(Pay_Num&lt;&gt;"",Scheduled_Monthly_Payment,"")</f>
        <v>2418.3976845093252</v>
      </c>
      <c r="E172" s="71">
        <f>IF(AND(Pay_Num&lt;&gt;"",Sched_Pay+Scheduled_Extra_Payments&lt;Beg_Bal),Scheduled_Extra_Payments,IF(AND(Pay_Num&lt;&gt;"",Beg_Bal-Sched_Pay&gt;0),Beg_Bal-Sched_Pay,IF(Pay_Num&lt;&gt;"",0,"")))</f>
        <v>0</v>
      </c>
      <c r="F172" s="70">
        <f>IF(AND(Pay_Num&lt;&gt;"",Sched_Pay+Extra_Pay&lt;Beg_Bal),Sched_Pay+Extra_Pay,IF(Pay_Num&lt;&gt;"",Beg_Bal,""))</f>
        <v>0</v>
      </c>
      <c r="G172" s="70">
        <f>IF(Pay_Num&lt;&gt;"",Total_Pay-Int,"")</f>
        <v>0</v>
      </c>
      <c r="H172" s="70">
        <f>IF(Pay_Num&lt;&gt;"",Beg_Bal*Interest_Rate/Num_Pmt_Per_Year,"")</f>
        <v>0</v>
      </c>
      <c r="I172" s="70">
        <f>IF(AND(Pay_Num&lt;&gt;"",Sched_Pay+Extra_Pay&lt;Beg_Bal),Beg_Bal-Princ,IF(Pay_Num&lt;&gt;"",0,""))</f>
        <v>0</v>
      </c>
      <c r="J172" s="70">
        <f>SUM($H$18:$H172)</f>
        <v>8041.5444282238004</v>
      </c>
    </row>
    <row r="173" spans="1:10" x14ac:dyDescent="0.3">
      <c r="A173" s="36">
        <f>IF(Values_Entered,A172+1,"")</f>
        <v>156</v>
      </c>
      <c r="B173" s="35">
        <f>IF(Pay_Num&lt;&gt;"",DATE(YEAR(Loan_Start),MONTH(Loan_Start)+(Pay_Num)*12/Num_Pmt_Per_Year,DAY(Loan_Start)),"")</f>
        <v>50131</v>
      </c>
      <c r="C173" s="70">
        <f>IF(Pay_Num&lt;&gt;"",I172,"")</f>
        <v>0</v>
      </c>
      <c r="D173" s="70">
        <f>IF(Pay_Num&lt;&gt;"",Scheduled_Monthly_Payment,"")</f>
        <v>2418.3976845093252</v>
      </c>
      <c r="E173" s="71">
        <f>IF(AND(Pay_Num&lt;&gt;"",Sched_Pay+Scheduled_Extra_Payments&lt;Beg_Bal),Scheduled_Extra_Payments,IF(AND(Pay_Num&lt;&gt;"",Beg_Bal-Sched_Pay&gt;0),Beg_Bal-Sched_Pay,IF(Pay_Num&lt;&gt;"",0,"")))</f>
        <v>0</v>
      </c>
      <c r="F173" s="70">
        <f>IF(AND(Pay_Num&lt;&gt;"",Sched_Pay+Extra_Pay&lt;Beg_Bal),Sched_Pay+Extra_Pay,IF(Pay_Num&lt;&gt;"",Beg_Bal,""))</f>
        <v>0</v>
      </c>
      <c r="G173" s="70">
        <f>IF(Pay_Num&lt;&gt;"",Total_Pay-Int,"")</f>
        <v>0</v>
      </c>
      <c r="H173" s="70">
        <f>IF(Pay_Num&lt;&gt;"",Beg_Bal*Interest_Rate/Num_Pmt_Per_Year,"")</f>
        <v>0</v>
      </c>
      <c r="I173" s="70">
        <f>IF(AND(Pay_Num&lt;&gt;"",Sched_Pay+Extra_Pay&lt;Beg_Bal),Beg_Bal-Princ,IF(Pay_Num&lt;&gt;"",0,""))</f>
        <v>0</v>
      </c>
      <c r="J173" s="70">
        <f>SUM($H$18:$H173)</f>
        <v>8041.5444282238004</v>
      </c>
    </row>
    <row r="174" spans="1:10" x14ac:dyDescent="0.3">
      <c r="A174" s="36">
        <f>IF(Values_Entered,A173+1,"")</f>
        <v>157</v>
      </c>
      <c r="B174" s="35">
        <f>IF(Pay_Num&lt;&gt;"",DATE(YEAR(Loan_Start),MONTH(Loan_Start)+(Pay_Num)*12/Num_Pmt_Per_Year,DAY(Loan_Start)),"")</f>
        <v>50161</v>
      </c>
      <c r="C174" s="70">
        <f>IF(Pay_Num&lt;&gt;"",I173,"")</f>
        <v>0</v>
      </c>
      <c r="D174" s="70">
        <f>IF(Pay_Num&lt;&gt;"",Scheduled_Monthly_Payment,"")</f>
        <v>2418.3976845093252</v>
      </c>
      <c r="E174" s="71">
        <f>IF(AND(Pay_Num&lt;&gt;"",Sched_Pay+Scheduled_Extra_Payments&lt;Beg_Bal),Scheduled_Extra_Payments,IF(AND(Pay_Num&lt;&gt;"",Beg_Bal-Sched_Pay&gt;0),Beg_Bal-Sched_Pay,IF(Pay_Num&lt;&gt;"",0,"")))</f>
        <v>0</v>
      </c>
      <c r="F174" s="70">
        <f>IF(AND(Pay_Num&lt;&gt;"",Sched_Pay+Extra_Pay&lt;Beg_Bal),Sched_Pay+Extra_Pay,IF(Pay_Num&lt;&gt;"",Beg_Bal,""))</f>
        <v>0</v>
      </c>
      <c r="G174" s="70">
        <f>IF(Pay_Num&lt;&gt;"",Total_Pay-Int,"")</f>
        <v>0</v>
      </c>
      <c r="H174" s="70">
        <f>IF(Pay_Num&lt;&gt;"",Beg_Bal*Interest_Rate/Num_Pmt_Per_Year,"")</f>
        <v>0</v>
      </c>
      <c r="I174" s="70">
        <f>IF(AND(Pay_Num&lt;&gt;"",Sched_Pay+Extra_Pay&lt;Beg_Bal),Beg_Bal-Princ,IF(Pay_Num&lt;&gt;"",0,""))</f>
        <v>0</v>
      </c>
      <c r="J174" s="70">
        <f>SUM($H$18:$H174)</f>
        <v>8041.5444282238004</v>
      </c>
    </row>
    <row r="175" spans="1:10" x14ac:dyDescent="0.3">
      <c r="A175" s="36">
        <f>IF(Values_Entered,A174+1,"")</f>
        <v>158</v>
      </c>
      <c r="B175" s="35">
        <f>IF(Pay_Num&lt;&gt;"",DATE(YEAR(Loan_Start),MONTH(Loan_Start)+(Pay_Num)*12/Num_Pmt_Per_Year,DAY(Loan_Start)),"")</f>
        <v>50192</v>
      </c>
      <c r="C175" s="70">
        <f>IF(Pay_Num&lt;&gt;"",I174,"")</f>
        <v>0</v>
      </c>
      <c r="D175" s="70">
        <f>IF(Pay_Num&lt;&gt;"",Scheduled_Monthly_Payment,"")</f>
        <v>2418.3976845093252</v>
      </c>
      <c r="E175" s="71">
        <f>IF(AND(Pay_Num&lt;&gt;"",Sched_Pay+Scheduled_Extra_Payments&lt;Beg_Bal),Scheduled_Extra_Payments,IF(AND(Pay_Num&lt;&gt;"",Beg_Bal-Sched_Pay&gt;0),Beg_Bal-Sched_Pay,IF(Pay_Num&lt;&gt;"",0,"")))</f>
        <v>0</v>
      </c>
      <c r="F175" s="70">
        <f>IF(AND(Pay_Num&lt;&gt;"",Sched_Pay+Extra_Pay&lt;Beg_Bal),Sched_Pay+Extra_Pay,IF(Pay_Num&lt;&gt;"",Beg_Bal,""))</f>
        <v>0</v>
      </c>
      <c r="G175" s="70">
        <f>IF(Pay_Num&lt;&gt;"",Total_Pay-Int,"")</f>
        <v>0</v>
      </c>
      <c r="H175" s="70">
        <f>IF(Pay_Num&lt;&gt;"",Beg_Bal*Interest_Rate/Num_Pmt_Per_Year,"")</f>
        <v>0</v>
      </c>
      <c r="I175" s="70">
        <f>IF(AND(Pay_Num&lt;&gt;"",Sched_Pay+Extra_Pay&lt;Beg_Bal),Beg_Bal-Princ,IF(Pay_Num&lt;&gt;"",0,""))</f>
        <v>0</v>
      </c>
      <c r="J175" s="70">
        <f>SUM($H$18:$H175)</f>
        <v>8041.5444282238004</v>
      </c>
    </row>
    <row r="176" spans="1:10" x14ac:dyDescent="0.3">
      <c r="A176" s="36">
        <f>IF(Values_Entered,A175+1,"")</f>
        <v>159</v>
      </c>
      <c r="B176" s="35">
        <f>IF(Pay_Num&lt;&gt;"",DATE(YEAR(Loan_Start),MONTH(Loan_Start)+(Pay_Num)*12/Num_Pmt_Per_Year,DAY(Loan_Start)),"")</f>
        <v>50222</v>
      </c>
      <c r="C176" s="70">
        <f>IF(Pay_Num&lt;&gt;"",I175,"")</f>
        <v>0</v>
      </c>
      <c r="D176" s="70">
        <f>IF(Pay_Num&lt;&gt;"",Scheduled_Monthly_Payment,"")</f>
        <v>2418.3976845093252</v>
      </c>
      <c r="E176" s="71">
        <f>IF(AND(Pay_Num&lt;&gt;"",Sched_Pay+Scheduled_Extra_Payments&lt;Beg_Bal),Scheduled_Extra_Payments,IF(AND(Pay_Num&lt;&gt;"",Beg_Bal-Sched_Pay&gt;0),Beg_Bal-Sched_Pay,IF(Pay_Num&lt;&gt;"",0,"")))</f>
        <v>0</v>
      </c>
      <c r="F176" s="70">
        <f>IF(AND(Pay_Num&lt;&gt;"",Sched_Pay+Extra_Pay&lt;Beg_Bal),Sched_Pay+Extra_Pay,IF(Pay_Num&lt;&gt;"",Beg_Bal,""))</f>
        <v>0</v>
      </c>
      <c r="G176" s="70">
        <f>IF(Pay_Num&lt;&gt;"",Total_Pay-Int,"")</f>
        <v>0</v>
      </c>
      <c r="H176" s="70">
        <f>IF(Pay_Num&lt;&gt;"",Beg_Bal*Interest_Rate/Num_Pmt_Per_Year,"")</f>
        <v>0</v>
      </c>
      <c r="I176" s="70">
        <f>IF(AND(Pay_Num&lt;&gt;"",Sched_Pay+Extra_Pay&lt;Beg_Bal),Beg_Bal-Princ,IF(Pay_Num&lt;&gt;"",0,""))</f>
        <v>0</v>
      </c>
      <c r="J176" s="70">
        <f>SUM($H$18:$H176)</f>
        <v>8041.5444282238004</v>
      </c>
    </row>
    <row r="177" spans="1:10" x14ac:dyDescent="0.3">
      <c r="A177" s="36">
        <f>IF(Values_Entered,A176+1,"")</f>
        <v>160</v>
      </c>
      <c r="B177" s="35">
        <f>IF(Pay_Num&lt;&gt;"",DATE(YEAR(Loan_Start),MONTH(Loan_Start)+(Pay_Num)*12/Num_Pmt_Per_Year,DAY(Loan_Start)),"")</f>
        <v>50253</v>
      </c>
      <c r="C177" s="70">
        <f>IF(Pay_Num&lt;&gt;"",I176,"")</f>
        <v>0</v>
      </c>
      <c r="D177" s="70">
        <f>IF(Pay_Num&lt;&gt;"",Scheduled_Monthly_Payment,"")</f>
        <v>2418.3976845093252</v>
      </c>
      <c r="E177" s="71">
        <f>IF(AND(Pay_Num&lt;&gt;"",Sched_Pay+Scheduled_Extra_Payments&lt;Beg_Bal),Scheduled_Extra_Payments,IF(AND(Pay_Num&lt;&gt;"",Beg_Bal-Sched_Pay&gt;0),Beg_Bal-Sched_Pay,IF(Pay_Num&lt;&gt;"",0,"")))</f>
        <v>0</v>
      </c>
      <c r="F177" s="70">
        <f>IF(AND(Pay_Num&lt;&gt;"",Sched_Pay+Extra_Pay&lt;Beg_Bal),Sched_Pay+Extra_Pay,IF(Pay_Num&lt;&gt;"",Beg_Bal,""))</f>
        <v>0</v>
      </c>
      <c r="G177" s="70">
        <f>IF(Pay_Num&lt;&gt;"",Total_Pay-Int,"")</f>
        <v>0</v>
      </c>
      <c r="H177" s="70">
        <f>IF(Pay_Num&lt;&gt;"",Beg_Bal*Interest_Rate/Num_Pmt_Per_Year,"")</f>
        <v>0</v>
      </c>
      <c r="I177" s="70">
        <f>IF(AND(Pay_Num&lt;&gt;"",Sched_Pay+Extra_Pay&lt;Beg_Bal),Beg_Bal-Princ,IF(Pay_Num&lt;&gt;"",0,""))</f>
        <v>0</v>
      </c>
      <c r="J177" s="70">
        <f>SUM($H$18:$H177)</f>
        <v>8041.5444282238004</v>
      </c>
    </row>
    <row r="178" spans="1:10" x14ac:dyDescent="0.3">
      <c r="A178" s="36">
        <f>IF(Values_Entered,A177+1,"")</f>
        <v>161</v>
      </c>
      <c r="B178" s="35">
        <f>IF(Pay_Num&lt;&gt;"",DATE(YEAR(Loan_Start),MONTH(Loan_Start)+(Pay_Num)*12/Num_Pmt_Per_Year,DAY(Loan_Start)),"")</f>
        <v>50284</v>
      </c>
      <c r="C178" s="70">
        <f>IF(Pay_Num&lt;&gt;"",I177,"")</f>
        <v>0</v>
      </c>
      <c r="D178" s="70">
        <f>IF(Pay_Num&lt;&gt;"",Scheduled_Monthly_Payment,"")</f>
        <v>2418.3976845093252</v>
      </c>
      <c r="E178" s="71">
        <f>IF(AND(Pay_Num&lt;&gt;"",Sched_Pay+Scheduled_Extra_Payments&lt;Beg_Bal),Scheduled_Extra_Payments,IF(AND(Pay_Num&lt;&gt;"",Beg_Bal-Sched_Pay&gt;0),Beg_Bal-Sched_Pay,IF(Pay_Num&lt;&gt;"",0,"")))</f>
        <v>0</v>
      </c>
      <c r="F178" s="70">
        <f>IF(AND(Pay_Num&lt;&gt;"",Sched_Pay+Extra_Pay&lt;Beg_Bal),Sched_Pay+Extra_Pay,IF(Pay_Num&lt;&gt;"",Beg_Bal,""))</f>
        <v>0</v>
      </c>
      <c r="G178" s="70">
        <f>IF(Pay_Num&lt;&gt;"",Total_Pay-Int,"")</f>
        <v>0</v>
      </c>
      <c r="H178" s="70">
        <f>IF(Pay_Num&lt;&gt;"",Beg_Bal*Interest_Rate/Num_Pmt_Per_Year,"")</f>
        <v>0</v>
      </c>
      <c r="I178" s="70">
        <f>IF(AND(Pay_Num&lt;&gt;"",Sched_Pay+Extra_Pay&lt;Beg_Bal),Beg_Bal-Princ,IF(Pay_Num&lt;&gt;"",0,""))</f>
        <v>0</v>
      </c>
      <c r="J178" s="70">
        <f>SUM($H$18:$H178)</f>
        <v>8041.5444282238004</v>
      </c>
    </row>
    <row r="179" spans="1:10" x14ac:dyDescent="0.3">
      <c r="A179" s="36">
        <f>IF(Values_Entered,A178+1,"")</f>
        <v>162</v>
      </c>
      <c r="B179" s="35">
        <f>IF(Pay_Num&lt;&gt;"",DATE(YEAR(Loan_Start),MONTH(Loan_Start)+(Pay_Num)*12/Num_Pmt_Per_Year,DAY(Loan_Start)),"")</f>
        <v>50314</v>
      </c>
      <c r="C179" s="70">
        <f>IF(Pay_Num&lt;&gt;"",I178,"")</f>
        <v>0</v>
      </c>
      <c r="D179" s="70">
        <f>IF(Pay_Num&lt;&gt;"",Scheduled_Monthly_Payment,"")</f>
        <v>2418.3976845093252</v>
      </c>
      <c r="E179" s="71">
        <f>IF(AND(Pay_Num&lt;&gt;"",Sched_Pay+Scheduled_Extra_Payments&lt;Beg_Bal),Scheduled_Extra_Payments,IF(AND(Pay_Num&lt;&gt;"",Beg_Bal-Sched_Pay&gt;0),Beg_Bal-Sched_Pay,IF(Pay_Num&lt;&gt;"",0,"")))</f>
        <v>0</v>
      </c>
      <c r="F179" s="70">
        <f>IF(AND(Pay_Num&lt;&gt;"",Sched_Pay+Extra_Pay&lt;Beg_Bal),Sched_Pay+Extra_Pay,IF(Pay_Num&lt;&gt;"",Beg_Bal,""))</f>
        <v>0</v>
      </c>
      <c r="G179" s="70">
        <f>IF(Pay_Num&lt;&gt;"",Total_Pay-Int,"")</f>
        <v>0</v>
      </c>
      <c r="H179" s="70">
        <f>IF(Pay_Num&lt;&gt;"",Beg_Bal*Interest_Rate/Num_Pmt_Per_Year,"")</f>
        <v>0</v>
      </c>
      <c r="I179" s="70">
        <f>IF(AND(Pay_Num&lt;&gt;"",Sched_Pay+Extra_Pay&lt;Beg_Bal),Beg_Bal-Princ,IF(Pay_Num&lt;&gt;"",0,""))</f>
        <v>0</v>
      </c>
      <c r="J179" s="70">
        <f>SUM($H$18:$H179)</f>
        <v>8041.5444282238004</v>
      </c>
    </row>
    <row r="180" spans="1:10" x14ac:dyDescent="0.3">
      <c r="A180" s="36">
        <f>IF(Values_Entered,A179+1,"")</f>
        <v>163</v>
      </c>
      <c r="B180" s="35">
        <f>IF(Pay_Num&lt;&gt;"",DATE(YEAR(Loan_Start),MONTH(Loan_Start)+(Pay_Num)*12/Num_Pmt_Per_Year,DAY(Loan_Start)),"")</f>
        <v>50345</v>
      </c>
      <c r="C180" s="70">
        <f>IF(Pay_Num&lt;&gt;"",I179,"")</f>
        <v>0</v>
      </c>
      <c r="D180" s="70">
        <f>IF(Pay_Num&lt;&gt;"",Scheduled_Monthly_Payment,"")</f>
        <v>2418.3976845093252</v>
      </c>
      <c r="E180" s="71">
        <f>IF(AND(Pay_Num&lt;&gt;"",Sched_Pay+Scheduled_Extra_Payments&lt;Beg_Bal),Scheduled_Extra_Payments,IF(AND(Pay_Num&lt;&gt;"",Beg_Bal-Sched_Pay&gt;0),Beg_Bal-Sched_Pay,IF(Pay_Num&lt;&gt;"",0,"")))</f>
        <v>0</v>
      </c>
      <c r="F180" s="70">
        <f>IF(AND(Pay_Num&lt;&gt;"",Sched_Pay+Extra_Pay&lt;Beg_Bal),Sched_Pay+Extra_Pay,IF(Pay_Num&lt;&gt;"",Beg_Bal,""))</f>
        <v>0</v>
      </c>
      <c r="G180" s="70">
        <f>IF(Pay_Num&lt;&gt;"",Total_Pay-Int,"")</f>
        <v>0</v>
      </c>
      <c r="H180" s="70">
        <f>IF(Pay_Num&lt;&gt;"",Beg_Bal*Interest_Rate/Num_Pmt_Per_Year,"")</f>
        <v>0</v>
      </c>
      <c r="I180" s="70">
        <f>IF(AND(Pay_Num&lt;&gt;"",Sched_Pay+Extra_Pay&lt;Beg_Bal),Beg_Bal-Princ,IF(Pay_Num&lt;&gt;"",0,""))</f>
        <v>0</v>
      </c>
      <c r="J180" s="70">
        <f>SUM($H$18:$H180)</f>
        <v>8041.5444282238004</v>
      </c>
    </row>
    <row r="181" spans="1:10" x14ac:dyDescent="0.3">
      <c r="A181" s="36">
        <f>IF(Values_Entered,A180+1,"")</f>
        <v>164</v>
      </c>
      <c r="B181" s="35">
        <f>IF(Pay_Num&lt;&gt;"",DATE(YEAR(Loan_Start),MONTH(Loan_Start)+(Pay_Num)*12/Num_Pmt_Per_Year,DAY(Loan_Start)),"")</f>
        <v>50375</v>
      </c>
      <c r="C181" s="70">
        <f>IF(Pay_Num&lt;&gt;"",I180,"")</f>
        <v>0</v>
      </c>
      <c r="D181" s="70">
        <f>IF(Pay_Num&lt;&gt;"",Scheduled_Monthly_Payment,"")</f>
        <v>2418.3976845093252</v>
      </c>
      <c r="E181" s="71">
        <f>IF(AND(Pay_Num&lt;&gt;"",Sched_Pay+Scheduled_Extra_Payments&lt;Beg_Bal),Scheduled_Extra_Payments,IF(AND(Pay_Num&lt;&gt;"",Beg_Bal-Sched_Pay&gt;0),Beg_Bal-Sched_Pay,IF(Pay_Num&lt;&gt;"",0,"")))</f>
        <v>0</v>
      </c>
      <c r="F181" s="70">
        <f>IF(AND(Pay_Num&lt;&gt;"",Sched_Pay+Extra_Pay&lt;Beg_Bal),Sched_Pay+Extra_Pay,IF(Pay_Num&lt;&gt;"",Beg_Bal,""))</f>
        <v>0</v>
      </c>
      <c r="G181" s="70">
        <f>IF(Pay_Num&lt;&gt;"",Total_Pay-Int,"")</f>
        <v>0</v>
      </c>
      <c r="H181" s="70">
        <f>IF(Pay_Num&lt;&gt;"",Beg_Bal*Interest_Rate/Num_Pmt_Per_Year,"")</f>
        <v>0</v>
      </c>
      <c r="I181" s="70">
        <f>IF(AND(Pay_Num&lt;&gt;"",Sched_Pay+Extra_Pay&lt;Beg_Bal),Beg_Bal-Princ,IF(Pay_Num&lt;&gt;"",0,""))</f>
        <v>0</v>
      </c>
      <c r="J181" s="70">
        <f>SUM($H$18:$H181)</f>
        <v>8041.5444282238004</v>
      </c>
    </row>
    <row r="182" spans="1:10" x14ac:dyDescent="0.3">
      <c r="A182" s="36">
        <f>IF(Values_Entered,A181+1,"")</f>
        <v>165</v>
      </c>
      <c r="B182" s="35">
        <f>IF(Pay_Num&lt;&gt;"",DATE(YEAR(Loan_Start),MONTH(Loan_Start)+(Pay_Num)*12/Num_Pmt_Per_Year,DAY(Loan_Start)),"")</f>
        <v>50406</v>
      </c>
      <c r="C182" s="70">
        <f>IF(Pay_Num&lt;&gt;"",I181,"")</f>
        <v>0</v>
      </c>
      <c r="D182" s="70">
        <f>IF(Pay_Num&lt;&gt;"",Scheduled_Monthly_Payment,"")</f>
        <v>2418.3976845093252</v>
      </c>
      <c r="E182" s="71">
        <f>IF(AND(Pay_Num&lt;&gt;"",Sched_Pay+Scheduled_Extra_Payments&lt;Beg_Bal),Scheduled_Extra_Payments,IF(AND(Pay_Num&lt;&gt;"",Beg_Bal-Sched_Pay&gt;0),Beg_Bal-Sched_Pay,IF(Pay_Num&lt;&gt;"",0,"")))</f>
        <v>0</v>
      </c>
      <c r="F182" s="70">
        <f>IF(AND(Pay_Num&lt;&gt;"",Sched_Pay+Extra_Pay&lt;Beg_Bal),Sched_Pay+Extra_Pay,IF(Pay_Num&lt;&gt;"",Beg_Bal,""))</f>
        <v>0</v>
      </c>
      <c r="G182" s="70">
        <f>IF(Pay_Num&lt;&gt;"",Total_Pay-Int,"")</f>
        <v>0</v>
      </c>
      <c r="H182" s="70">
        <f>IF(Pay_Num&lt;&gt;"",Beg_Bal*Interest_Rate/Num_Pmt_Per_Year,"")</f>
        <v>0</v>
      </c>
      <c r="I182" s="70">
        <f>IF(AND(Pay_Num&lt;&gt;"",Sched_Pay+Extra_Pay&lt;Beg_Bal),Beg_Bal-Princ,IF(Pay_Num&lt;&gt;"",0,""))</f>
        <v>0</v>
      </c>
      <c r="J182" s="70">
        <f>SUM($H$18:$H182)</f>
        <v>8041.5444282238004</v>
      </c>
    </row>
    <row r="183" spans="1:10" x14ac:dyDescent="0.3">
      <c r="A183" s="36">
        <f>IF(Values_Entered,A182+1,"")</f>
        <v>166</v>
      </c>
      <c r="B183" s="35">
        <f>IF(Pay_Num&lt;&gt;"",DATE(YEAR(Loan_Start),MONTH(Loan_Start)+(Pay_Num)*12/Num_Pmt_Per_Year,DAY(Loan_Start)),"")</f>
        <v>50437</v>
      </c>
      <c r="C183" s="70">
        <f>IF(Pay_Num&lt;&gt;"",I182,"")</f>
        <v>0</v>
      </c>
      <c r="D183" s="70">
        <f>IF(Pay_Num&lt;&gt;"",Scheduled_Monthly_Payment,"")</f>
        <v>2418.3976845093252</v>
      </c>
      <c r="E183" s="71">
        <f>IF(AND(Pay_Num&lt;&gt;"",Sched_Pay+Scheduled_Extra_Payments&lt;Beg_Bal),Scheduled_Extra_Payments,IF(AND(Pay_Num&lt;&gt;"",Beg_Bal-Sched_Pay&gt;0),Beg_Bal-Sched_Pay,IF(Pay_Num&lt;&gt;"",0,"")))</f>
        <v>0</v>
      </c>
      <c r="F183" s="70">
        <f>IF(AND(Pay_Num&lt;&gt;"",Sched_Pay+Extra_Pay&lt;Beg_Bal),Sched_Pay+Extra_Pay,IF(Pay_Num&lt;&gt;"",Beg_Bal,""))</f>
        <v>0</v>
      </c>
      <c r="G183" s="70">
        <f>IF(Pay_Num&lt;&gt;"",Total_Pay-Int,"")</f>
        <v>0</v>
      </c>
      <c r="H183" s="70">
        <f>IF(Pay_Num&lt;&gt;"",Beg_Bal*Interest_Rate/Num_Pmt_Per_Year,"")</f>
        <v>0</v>
      </c>
      <c r="I183" s="70">
        <f>IF(AND(Pay_Num&lt;&gt;"",Sched_Pay+Extra_Pay&lt;Beg_Bal),Beg_Bal-Princ,IF(Pay_Num&lt;&gt;"",0,""))</f>
        <v>0</v>
      </c>
      <c r="J183" s="70">
        <f>SUM($H$18:$H183)</f>
        <v>8041.5444282238004</v>
      </c>
    </row>
    <row r="184" spans="1:10" x14ac:dyDescent="0.3">
      <c r="A184" s="36">
        <f>IF(Values_Entered,A183+1,"")</f>
        <v>167</v>
      </c>
      <c r="B184" s="35">
        <f>IF(Pay_Num&lt;&gt;"",DATE(YEAR(Loan_Start),MONTH(Loan_Start)+(Pay_Num)*12/Num_Pmt_Per_Year,DAY(Loan_Start)),"")</f>
        <v>50465</v>
      </c>
      <c r="C184" s="70">
        <f>IF(Pay_Num&lt;&gt;"",I183,"")</f>
        <v>0</v>
      </c>
      <c r="D184" s="70">
        <f>IF(Pay_Num&lt;&gt;"",Scheduled_Monthly_Payment,"")</f>
        <v>2418.3976845093252</v>
      </c>
      <c r="E184" s="71">
        <f>IF(AND(Pay_Num&lt;&gt;"",Sched_Pay+Scheduled_Extra_Payments&lt;Beg_Bal),Scheduled_Extra_Payments,IF(AND(Pay_Num&lt;&gt;"",Beg_Bal-Sched_Pay&gt;0),Beg_Bal-Sched_Pay,IF(Pay_Num&lt;&gt;"",0,"")))</f>
        <v>0</v>
      </c>
      <c r="F184" s="70">
        <f>IF(AND(Pay_Num&lt;&gt;"",Sched_Pay+Extra_Pay&lt;Beg_Bal),Sched_Pay+Extra_Pay,IF(Pay_Num&lt;&gt;"",Beg_Bal,""))</f>
        <v>0</v>
      </c>
      <c r="G184" s="70">
        <f>IF(Pay_Num&lt;&gt;"",Total_Pay-Int,"")</f>
        <v>0</v>
      </c>
      <c r="H184" s="70">
        <f>IF(Pay_Num&lt;&gt;"",Beg_Bal*Interest_Rate/Num_Pmt_Per_Year,"")</f>
        <v>0</v>
      </c>
      <c r="I184" s="70">
        <f>IF(AND(Pay_Num&lt;&gt;"",Sched_Pay+Extra_Pay&lt;Beg_Bal),Beg_Bal-Princ,IF(Pay_Num&lt;&gt;"",0,""))</f>
        <v>0</v>
      </c>
      <c r="J184" s="70">
        <f>SUM($H$18:$H184)</f>
        <v>8041.5444282238004</v>
      </c>
    </row>
    <row r="185" spans="1:10" x14ac:dyDescent="0.3">
      <c r="A185" s="36">
        <f>IF(Values_Entered,A184+1,"")</f>
        <v>168</v>
      </c>
      <c r="B185" s="35">
        <f>IF(Pay_Num&lt;&gt;"",DATE(YEAR(Loan_Start),MONTH(Loan_Start)+(Pay_Num)*12/Num_Pmt_Per_Year,DAY(Loan_Start)),"")</f>
        <v>50496</v>
      </c>
      <c r="C185" s="70">
        <f>IF(Pay_Num&lt;&gt;"",I184,"")</f>
        <v>0</v>
      </c>
      <c r="D185" s="70">
        <f>IF(Pay_Num&lt;&gt;"",Scheduled_Monthly_Payment,"")</f>
        <v>2418.3976845093252</v>
      </c>
      <c r="E185" s="71">
        <f>IF(AND(Pay_Num&lt;&gt;"",Sched_Pay+Scheduled_Extra_Payments&lt;Beg_Bal),Scheduled_Extra_Payments,IF(AND(Pay_Num&lt;&gt;"",Beg_Bal-Sched_Pay&gt;0),Beg_Bal-Sched_Pay,IF(Pay_Num&lt;&gt;"",0,"")))</f>
        <v>0</v>
      </c>
      <c r="F185" s="70">
        <f>IF(AND(Pay_Num&lt;&gt;"",Sched_Pay+Extra_Pay&lt;Beg_Bal),Sched_Pay+Extra_Pay,IF(Pay_Num&lt;&gt;"",Beg_Bal,""))</f>
        <v>0</v>
      </c>
      <c r="G185" s="70">
        <f>IF(Pay_Num&lt;&gt;"",Total_Pay-Int,"")</f>
        <v>0</v>
      </c>
      <c r="H185" s="70">
        <f>IF(Pay_Num&lt;&gt;"",Beg_Bal*Interest_Rate/Num_Pmt_Per_Year,"")</f>
        <v>0</v>
      </c>
      <c r="I185" s="70">
        <f>IF(AND(Pay_Num&lt;&gt;"",Sched_Pay+Extra_Pay&lt;Beg_Bal),Beg_Bal-Princ,IF(Pay_Num&lt;&gt;"",0,""))</f>
        <v>0</v>
      </c>
      <c r="J185" s="70">
        <f>SUM($H$18:$H185)</f>
        <v>8041.5444282238004</v>
      </c>
    </row>
    <row r="186" spans="1:10" x14ac:dyDescent="0.3">
      <c r="A186" s="36">
        <f>IF(Values_Entered,A185+1,"")</f>
        <v>169</v>
      </c>
      <c r="B186" s="35">
        <f>IF(Pay_Num&lt;&gt;"",DATE(YEAR(Loan_Start),MONTH(Loan_Start)+(Pay_Num)*12/Num_Pmt_Per_Year,DAY(Loan_Start)),"")</f>
        <v>50526</v>
      </c>
      <c r="C186" s="70">
        <f>IF(Pay_Num&lt;&gt;"",I185,"")</f>
        <v>0</v>
      </c>
      <c r="D186" s="70">
        <f>IF(Pay_Num&lt;&gt;"",Scheduled_Monthly_Payment,"")</f>
        <v>2418.3976845093252</v>
      </c>
      <c r="E186" s="71">
        <f>IF(AND(Pay_Num&lt;&gt;"",Sched_Pay+Scheduled_Extra_Payments&lt;Beg_Bal),Scheduled_Extra_Payments,IF(AND(Pay_Num&lt;&gt;"",Beg_Bal-Sched_Pay&gt;0),Beg_Bal-Sched_Pay,IF(Pay_Num&lt;&gt;"",0,"")))</f>
        <v>0</v>
      </c>
      <c r="F186" s="70">
        <f>IF(AND(Pay_Num&lt;&gt;"",Sched_Pay+Extra_Pay&lt;Beg_Bal),Sched_Pay+Extra_Pay,IF(Pay_Num&lt;&gt;"",Beg_Bal,""))</f>
        <v>0</v>
      </c>
      <c r="G186" s="70">
        <f>IF(Pay_Num&lt;&gt;"",Total_Pay-Int,"")</f>
        <v>0</v>
      </c>
      <c r="H186" s="70">
        <f>IF(Pay_Num&lt;&gt;"",Beg_Bal*Interest_Rate/Num_Pmt_Per_Year,"")</f>
        <v>0</v>
      </c>
      <c r="I186" s="70">
        <f>IF(AND(Pay_Num&lt;&gt;"",Sched_Pay+Extra_Pay&lt;Beg_Bal),Beg_Bal-Princ,IF(Pay_Num&lt;&gt;"",0,""))</f>
        <v>0</v>
      </c>
      <c r="J186" s="70">
        <f>SUM($H$18:$H186)</f>
        <v>8041.5444282238004</v>
      </c>
    </row>
    <row r="187" spans="1:10" x14ac:dyDescent="0.3">
      <c r="A187" s="36">
        <f>IF(Values_Entered,A186+1,"")</f>
        <v>170</v>
      </c>
      <c r="B187" s="35">
        <f>IF(Pay_Num&lt;&gt;"",DATE(YEAR(Loan_Start),MONTH(Loan_Start)+(Pay_Num)*12/Num_Pmt_Per_Year,DAY(Loan_Start)),"")</f>
        <v>50557</v>
      </c>
      <c r="C187" s="70">
        <f>IF(Pay_Num&lt;&gt;"",I186,"")</f>
        <v>0</v>
      </c>
      <c r="D187" s="70">
        <f>IF(Pay_Num&lt;&gt;"",Scheduled_Monthly_Payment,"")</f>
        <v>2418.3976845093252</v>
      </c>
      <c r="E187" s="71">
        <f>IF(AND(Pay_Num&lt;&gt;"",Sched_Pay+Scheduled_Extra_Payments&lt;Beg_Bal),Scheduled_Extra_Payments,IF(AND(Pay_Num&lt;&gt;"",Beg_Bal-Sched_Pay&gt;0),Beg_Bal-Sched_Pay,IF(Pay_Num&lt;&gt;"",0,"")))</f>
        <v>0</v>
      </c>
      <c r="F187" s="70">
        <f>IF(AND(Pay_Num&lt;&gt;"",Sched_Pay+Extra_Pay&lt;Beg_Bal),Sched_Pay+Extra_Pay,IF(Pay_Num&lt;&gt;"",Beg_Bal,""))</f>
        <v>0</v>
      </c>
      <c r="G187" s="70">
        <f>IF(Pay_Num&lt;&gt;"",Total_Pay-Int,"")</f>
        <v>0</v>
      </c>
      <c r="H187" s="70">
        <f>IF(Pay_Num&lt;&gt;"",Beg_Bal*Interest_Rate/Num_Pmt_Per_Year,"")</f>
        <v>0</v>
      </c>
      <c r="I187" s="70">
        <f>IF(AND(Pay_Num&lt;&gt;"",Sched_Pay+Extra_Pay&lt;Beg_Bal),Beg_Bal-Princ,IF(Pay_Num&lt;&gt;"",0,""))</f>
        <v>0</v>
      </c>
      <c r="J187" s="70">
        <f>SUM($H$18:$H187)</f>
        <v>8041.5444282238004</v>
      </c>
    </row>
    <row r="188" spans="1:10" x14ac:dyDescent="0.3">
      <c r="A188" s="36">
        <f>IF(Values_Entered,A187+1,"")</f>
        <v>171</v>
      </c>
      <c r="B188" s="35">
        <f>IF(Pay_Num&lt;&gt;"",DATE(YEAR(Loan_Start),MONTH(Loan_Start)+(Pay_Num)*12/Num_Pmt_Per_Year,DAY(Loan_Start)),"")</f>
        <v>50587</v>
      </c>
      <c r="C188" s="70">
        <f>IF(Pay_Num&lt;&gt;"",I187,"")</f>
        <v>0</v>
      </c>
      <c r="D188" s="70">
        <f>IF(Pay_Num&lt;&gt;"",Scheduled_Monthly_Payment,"")</f>
        <v>2418.3976845093252</v>
      </c>
      <c r="E188" s="71">
        <f>IF(AND(Pay_Num&lt;&gt;"",Sched_Pay+Scheduled_Extra_Payments&lt;Beg_Bal),Scheduled_Extra_Payments,IF(AND(Pay_Num&lt;&gt;"",Beg_Bal-Sched_Pay&gt;0),Beg_Bal-Sched_Pay,IF(Pay_Num&lt;&gt;"",0,"")))</f>
        <v>0</v>
      </c>
      <c r="F188" s="70">
        <f>IF(AND(Pay_Num&lt;&gt;"",Sched_Pay+Extra_Pay&lt;Beg_Bal),Sched_Pay+Extra_Pay,IF(Pay_Num&lt;&gt;"",Beg_Bal,""))</f>
        <v>0</v>
      </c>
      <c r="G188" s="70">
        <f>IF(Pay_Num&lt;&gt;"",Total_Pay-Int,"")</f>
        <v>0</v>
      </c>
      <c r="H188" s="70">
        <f>IF(Pay_Num&lt;&gt;"",Beg_Bal*Interest_Rate/Num_Pmt_Per_Year,"")</f>
        <v>0</v>
      </c>
      <c r="I188" s="70">
        <f>IF(AND(Pay_Num&lt;&gt;"",Sched_Pay+Extra_Pay&lt;Beg_Bal),Beg_Bal-Princ,IF(Pay_Num&lt;&gt;"",0,""))</f>
        <v>0</v>
      </c>
      <c r="J188" s="70">
        <f>SUM($H$18:$H188)</f>
        <v>8041.5444282238004</v>
      </c>
    </row>
    <row r="189" spans="1:10" x14ac:dyDescent="0.3">
      <c r="A189" s="36">
        <f>IF(Values_Entered,A188+1,"")</f>
        <v>172</v>
      </c>
      <c r="B189" s="35">
        <f>IF(Pay_Num&lt;&gt;"",DATE(YEAR(Loan_Start),MONTH(Loan_Start)+(Pay_Num)*12/Num_Pmt_Per_Year,DAY(Loan_Start)),"")</f>
        <v>50618</v>
      </c>
      <c r="C189" s="70">
        <f>IF(Pay_Num&lt;&gt;"",I188,"")</f>
        <v>0</v>
      </c>
      <c r="D189" s="70">
        <f>IF(Pay_Num&lt;&gt;"",Scheduled_Monthly_Payment,"")</f>
        <v>2418.3976845093252</v>
      </c>
      <c r="E189" s="71">
        <f>IF(AND(Pay_Num&lt;&gt;"",Sched_Pay+Scheduled_Extra_Payments&lt;Beg_Bal),Scheduled_Extra_Payments,IF(AND(Pay_Num&lt;&gt;"",Beg_Bal-Sched_Pay&gt;0),Beg_Bal-Sched_Pay,IF(Pay_Num&lt;&gt;"",0,"")))</f>
        <v>0</v>
      </c>
      <c r="F189" s="70">
        <f>IF(AND(Pay_Num&lt;&gt;"",Sched_Pay+Extra_Pay&lt;Beg_Bal),Sched_Pay+Extra_Pay,IF(Pay_Num&lt;&gt;"",Beg_Bal,""))</f>
        <v>0</v>
      </c>
      <c r="G189" s="70">
        <f>IF(Pay_Num&lt;&gt;"",Total_Pay-Int,"")</f>
        <v>0</v>
      </c>
      <c r="H189" s="70">
        <f>IF(Pay_Num&lt;&gt;"",Beg_Bal*Interest_Rate/Num_Pmt_Per_Year,"")</f>
        <v>0</v>
      </c>
      <c r="I189" s="70">
        <f>IF(AND(Pay_Num&lt;&gt;"",Sched_Pay+Extra_Pay&lt;Beg_Bal),Beg_Bal-Princ,IF(Pay_Num&lt;&gt;"",0,""))</f>
        <v>0</v>
      </c>
      <c r="J189" s="70">
        <f>SUM($H$18:$H189)</f>
        <v>8041.5444282238004</v>
      </c>
    </row>
    <row r="190" spans="1:10" x14ac:dyDescent="0.3">
      <c r="A190" s="36">
        <f>IF(Values_Entered,A189+1,"")</f>
        <v>173</v>
      </c>
      <c r="B190" s="35">
        <f>IF(Pay_Num&lt;&gt;"",DATE(YEAR(Loan_Start),MONTH(Loan_Start)+(Pay_Num)*12/Num_Pmt_Per_Year,DAY(Loan_Start)),"")</f>
        <v>50649</v>
      </c>
      <c r="C190" s="70">
        <f>IF(Pay_Num&lt;&gt;"",I189,"")</f>
        <v>0</v>
      </c>
      <c r="D190" s="70">
        <f>IF(Pay_Num&lt;&gt;"",Scheduled_Monthly_Payment,"")</f>
        <v>2418.3976845093252</v>
      </c>
      <c r="E190" s="71">
        <f>IF(AND(Pay_Num&lt;&gt;"",Sched_Pay+Scheduled_Extra_Payments&lt;Beg_Bal),Scheduled_Extra_Payments,IF(AND(Pay_Num&lt;&gt;"",Beg_Bal-Sched_Pay&gt;0),Beg_Bal-Sched_Pay,IF(Pay_Num&lt;&gt;"",0,"")))</f>
        <v>0</v>
      </c>
      <c r="F190" s="70">
        <f>IF(AND(Pay_Num&lt;&gt;"",Sched_Pay+Extra_Pay&lt;Beg_Bal),Sched_Pay+Extra_Pay,IF(Pay_Num&lt;&gt;"",Beg_Bal,""))</f>
        <v>0</v>
      </c>
      <c r="G190" s="70">
        <f>IF(Pay_Num&lt;&gt;"",Total_Pay-Int,"")</f>
        <v>0</v>
      </c>
      <c r="H190" s="70">
        <f>IF(Pay_Num&lt;&gt;"",Beg_Bal*Interest_Rate/Num_Pmt_Per_Year,"")</f>
        <v>0</v>
      </c>
      <c r="I190" s="70">
        <f>IF(AND(Pay_Num&lt;&gt;"",Sched_Pay+Extra_Pay&lt;Beg_Bal),Beg_Bal-Princ,IF(Pay_Num&lt;&gt;"",0,""))</f>
        <v>0</v>
      </c>
      <c r="J190" s="70">
        <f>SUM($H$18:$H190)</f>
        <v>8041.5444282238004</v>
      </c>
    </row>
    <row r="191" spans="1:10" x14ac:dyDescent="0.3">
      <c r="A191" s="36">
        <f>IF(Values_Entered,A190+1,"")</f>
        <v>174</v>
      </c>
      <c r="B191" s="35">
        <f>IF(Pay_Num&lt;&gt;"",DATE(YEAR(Loan_Start),MONTH(Loan_Start)+(Pay_Num)*12/Num_Pmt_Per_Year,DAY(Loan_Start)),"")</f>
        <v>50679</v>
      </c>
      <c r="C191" s="70">
        <f>IF(Pay_Num&lt;&gt;"",I190,"")</f>
        <v>0</v>
      </c>
      <c r="D191" s="70">
        <f>IF(Pay_Num&lt;&gt;"",Scheduled_Monthly_Payment,"")</f>
        <v>2418.3976845093252</v>
      </c>
      <c r="E191" s="71">
        <f>IF(AND(Pay_Num&lt;&gt;"",Sched_Pay+Scheduled_Extra_Payments&lt;Beg_Bal),Scheduled_Extra_Payments,IF(AND(Pay_Num&lt;&gt;"",Beg_Bal-Sched_Pay&gt;0),Beg_Bal-Sched_Pay,IF(Pay_Num&lt;&gt;"",0,"")))</f>
        <v>0</v>
      </c>
      <c r="F191" s="70">
        <f>IF(AND(Pay_Num&lt;&gt;"",Sched_Pay+Extra_Pay&lt;Beg_Bal),Sched_Pay+Extra_Pay,IF(Pay_Num&lt;&gt;"",Beg_Bal,""))</f>
        <v>0</v>
      </c>
      <c r="G191" s="70">
        <f>IF(Pay_Num&lt;&gt;"",Total_Pay-Int,"")</f>
        <v>0</v>
      </c>
      <c r="H191" s="70">
        <f>IF(Pay_Num&lt;&gt;"",Beg_Bal*Interest_Rate/Num_Pmt_Per_Year,"")</f>
        <v>0</v>
      </c>
      <c r="I191" s="70">
        <f>IF(AND(Pay_Num&lt;&gt;"",Sched_Pay+Extra_Pay&lt;Beg_Bal),Beg_Bal-Princ,IF(Pay_Num&lt;&gt;"",0,""))</f>
        <v>0</v>
      </c>
      <c r="J191" s="70">
        <f>SUM($H$18:$H191)</f>
        <v>8041.5444282238004</v>
      </c>
    </row>
    <row r="192" spans="1:10" x14ac:dyDescent="0.3">
      <c r="A192" s="36">
        <f>IF(Values_Entered,A191+1,"")</f>
        <v>175</v>
      </c>
      <c r="B192" s="35">
        <f>IF(Pay_Num&lt;&gt;"",DATE(YEAR(Loan_Start),MONTH(Loan_Start)+(Pay_Num)*12/Num_Pmt_Per_Year,DAY(Loan_Start)),"")</f>
        <v>50710</v>
      </c>
      <c r="C192" s="70">
        <f>IF(Pay_Num&lt;&gt;"",I191,"")</f>
        <v>0</v>
      </c>
      <c r="D192" s="70">
        <f>IF(Pay_Num&lt;&gt;"",Scheduled_Monthly_Payment,"")</f>
        <v>2418.3976845093252</v>
      </c>
      <c r="E192" s="71">
        <f>IF(AND(Pay_Num&lt;&gt;"",Sched_Pay+Scheduled_Extra_Payments&lt;Beg_Bal),Scheduled_Extra_Payments,IF(AND(Pay_Num&lt;&gt;"",Beg_Bal-Sched_Pay&gt;0),Beg_Bal-Sched_Pay,IF(Pay_Num&lt;&gt;"",0,"")))</f>
        <v>0</v>
      </c>
      <c r="F192" s="70">
        <f>IF(AND(Pay_Num&lt;&gt;"",Sched_Pay+Extra_Pay&lt;Beg_Bal),Sched_Pay+Extra_Pay,IF(Pay_Num&lt;&gt;"",Beg_Bal,""))</f>
        <v>0</v>
      </c>
      <c r="G192" s="70">
        <f>IF(Pay_Num&lt;&gt;"",Total_Pay-Int,"")</f>
        <v>0</v>
      </c>
      <c r="H192" s="70">
        <f>IF(Pay_Num&lt;&gt;"",Beg_Bal*Interest_Rate/Num_Pmt_Per_Year,"")</f>
        <v>0</v>
      </c>
      <c r="I192" s="70">
        <f>IF(AND(Pay_Num&lt;&gt;"",Sched_Pay+Extra_Pay&lt;Beg_Bal),Beg_Bal-Princ,IF(Pay_Num&lt;&gt;"",0,""))</f>
        <v>0</v>
      </c>
      <c r="J192" s="70">
        <f>SUM($H$18:$H192)</f>
        <v>8041.5444282238004</v>
      </c>
    </row>
    <row r="193" spans="1:10" x14ac:dyDescent="0.3">
      <c r="A193" s="36">
        <f>IF(Values_Entered,A192+1,"")</f>
        <v>176</v>
      </c>
      <c r="B193" s="35">
        <f>IF(Pay_Num&lt;&gt;"",DATE(YEAR(Loan_Start),MONTH(Loan_Start)+(Pay_Num)*12/Num_Pmt_Per_Year,DAY(Loan_Start)),"")</f>
        <v>50740</v>
      </c>
      <c r="C193" s="70">
        <f>IF(Pay_Num&lt;&gt;"",I192,"")</f>
        <v>0</v>
      </c>
      <c r="D193" s="70">
        <f>IF(Pay_Num&lt;&gt;"",Scheduled_Monthly_Payment,"")</f>
        <v>2418.3976845093252</v>
      </c>
      <c r="E193" s="71">
        <f>IF(AND(Pay_Num&lt;&gt;"",Sched_Pay+Scheduled_Extra_Payments&lt;Beg_Bal),Scheduled_Extra_Payments,IF(AND(Pay_Num&lt;&gt;"",Beg_Bal-Sched_Pay&gt;0),Beg_Bal-Sched_Pay,IF(Pay_Num&lt;&gt;"",0,"")))</f>
        <v>0</v>
      </c>
      <c r="F193" s="70">
        <f>IF(AND(Pay_Num&lt;&gt;"",Sched_Pay+Extra_Pay&lt;Beg_Bal),Sched_Pay+Extra_Pay,IF(Pay_Num&lt;&gt;"",Beg_Bal,""))</f>
        <v>0</v>
      </c>
      <c r="G193" s="70">
        <f>IF(Pay_Num&lt;&gt;"",Total_Pay-Int,"")</f>
        <v>0</v>
      </c>
      <c r="H193" s="70">
        <f>IF(Pay_Num&lt;&gt;"",Beg_Bal*Interest_Rate/Num_Pmt_Per_Year,"")</f>
        <v>0</v>
      </c>
      <c r="I193" s="70">
        <f>IF(AND(Pay_Num&lt;&gt;"",Sched_Pay+Extra_Pay&lt;Beg_Bal),Beg_Bal-Princ,IF(Pay_Num&lt;&gt;"",0,""))</f>
        <v>0</v>
      </c>
      <c r="J193" s="70">
        <f>SUM($H$18:$H193)</f>
        <v>8041.5444282238004</v>
      </c>
    </row>
    <row r="194" spans="1:10" x14ac:dyDescent="0.3">
      <c r="A194" s="36">
        <f>IF(Values_Entered,A193+1,"")</f>
        <v>177</v>
      </c>
      <c r="B194" s="35">
        <f>IF(Pay_Num&lt;&gt;"",DATE(YEAR(Loan_Start),MONTH(Loan_Start)+(Pay_Num)*12/Num_Pmt_Per_Year,DAY(Loan_Start)),"")</f>
        <v>50771</v>
      </c>
      <c r="C194" s="70">
        <f>IF(Pay_Num&lt;&gt;"",I193,"")</f>
        <v>0</v>
      </c>
      <c r="D194" s="70">
        <f>IF(Pay_Num&lt;&gt;"",Scheduled_Monthly_Payment,"")</f>
        <v>2418.3976845093252</v>
      </c>
      <c r="E194" s="71">
        <f>IF(AND(Pay_Num&lt;&gt;"",Sched_Pay+Scheduled_Extra_Payments&lt;Beg_Bal),Scheduled_Extra_Payments,IF(AND(Pay_Num&lt;&gt;"",Beg_Bal-Sched_Pay&gt;0),Beg_Bal-Sched_Pay,IF(Pay_Num&lt;&gt;"",0,"")))</f>
        <v>0</v>
      </c>
      <c r="F194" s="70">
        <f>IF(AND(Pay_Num&lt;&gt;"",Sched_Pay+Extra_Pay&lt;Beg_Bal),Sched_Pay+Extra_Pay,IF(Pay_Num&lt;&gt;"",Beg_Bal,""))</f>
        <v>0</v>
      </c>
      <c r="G194" s="70">
        <f>IF(Pay_Num&lt;&gt;"",Total_Pay-Int,"")</f>
        <v>0</v>
      </c>
      <c r="H194" s="70">
        <f>IF(Pay_Num&lt;&gt;"",Beg_Bal*Interest_Rate/Num_Pmt_Per_Year,"")</f>
        <v>0</v>
      </c>
      <c r="I194" s="70">
        <f>IF(AND(Pay_Num&lt;&gt;"",Sched_Pay+Extra_Pay&lt;Beg_Bal),Beg_Bal-Princ,IF(Pay_Num&lt;&gt;"",0,""))</f>
        <v>0</v>
      </c>
      <c r="J194" s="70">
        <f>SUM($H$18:$H194)</f>
        <v>8041.5444282238004</v>
      </c>
    </row>
    <row r="195" spans="1:10" x14ac:dyDescent="0.3">
      <c r="A195" s="36">
        <f>IF(Values_Entered,A194+1,"")</f>
        <v>178</v>
      </c>
      <c r="B195" s="35">
        <f>IF(Pay_Num&lt;&gt;"",DATE(YEAR(Loan_Start),MONTH(Loan_Start)+(Pay_Num)*12/Num_Pmt_Per_Year,DAY(Loan_Start)),"")</f>
        <v>50802</v>
      </c>
      <c r="C195" s="70">
        <f>IF(Pay_Num&lt;&gt;"",I194,"")</f>
        <v>0</v>
      </c>
      <c r="D195" s="70">
        <f>IF(Pay_Num&lt;&gt;"",Scheduled_Monthly_Payment,"")</f>
        <v>2418.3976845093252</v>
      </c>
      <c r="E195" s="71">
        <f>IF(AND(Pay_Num&lt;&gt;"",Sched_Pay+Scheduled_Extra_Payments&lt;Beg_Bal),Scheduled_Extra_Payments,IF(AND(Pay_Num&lt;&gt;"",Beg_Bal-Sched_Pay&gt;0),Beg_Bal-Sched_Pay,IF(Pay_Num&lt;&gt;"",0,"")))</f>
        <v>0</v>
      </c>
      <c r="F195" s="70">
        <f>IF(AND(Pay_Num&lt;&gt;"",Sched_Pay+Extra_Pay&lt;Beg_Bal),Sched_Pay+Extra_Pay,IF(Pay_Num&lt;&gt;"",Beg_Bal,""))</f>
        <v>0</v>
      </c>
      <c r="G195" s="70">
        <f>IF(Pay_Num&lt;&gt;"",Total_Pay-Int,"")</f>
        <v>0</v>
      </c>
      <c r="H195" s="70">
        <f>IF(Pay_Num&lt;&gt;"",Beg_Bal*Interest_Rate/Num_Pmt_Per_Year,"")</f>
        <v>0</v>
      </c>
      <c r="I195" s="70">
        <f>IF(AND(Pay_Num&lt;&gt;"",Sched_Pay+Extra_Pay&lt;Beg_Bal),Beg_Bal-Princ,IF(Pay_Num&lt;&gt;"",0,""))</f>
        <v>0</v>
      </c>
      <c r="J195" s="70">
        <f>SUM($H$18:$H195)</f>
        <v>8041.5444282238004</v>
      </c>
    </row>
    <row r="196" spans="1:10" x14ac:dyDescent="0.3">
      <c r="A196" s="36">
        <f>IF(Values_Entered,A195+1,"")</f>
        <v>179</v>
      </c>
      <c r="B196" s="35">
        <f>IF(Pay_Num&lt;&gt;"",DATE(YEAR(Loan_Start),MONTH(Loan_Start)+(Pay_Num)*12/Num_Pmt_Per_Year,DAY(Loan_Start)),"")</f>
        <v>50830</v>
      </c>
      <c r="C196" s="70">
        <f>IF(Pay_Num&lt;&gt;"",I195,"")</f>
        <v>0</v>
      </c>
      <c r="D196" s="70">
        <f>IF(Pay_Num&lt;&gt;"",Scheduled_Monthly_Payment,"")</f>
        <v>2418.3976845093252</v>
      </c>
      <c r="E196" s="71">
        <f>IF(AND(Pay_Num&lt;&gt;"",Sched_Pay+Scheduled_Extra_Payments&lt;Beg_Bal),Scheduled_Extra_Payments,IF(AND(Pay_Num&lt;&gt;"",Beg_Bal-Sched_Pay&gt;0),Beg_Bal-Sched_Pay,IF(Pay_Num&lt;&gt;"",0,"")))</f>
        <v>0</v>
      </c>
      <c r="F196" s="70">
        <f>IF(AND(Pay_Num&lt;&gt;"",Sched_Pay+Extra_Pay&lt;Beg_Bal),Sched_Pay+Extra_Pay,IF(Pay_Num&lt;&gt;"",Beg_Bal,""))</f>
        <v>0</v>
      </c>
      <c r="G196" s="70">
        <f>IF(Pay_Num&lt;&gt;"",Total_Pay-Int,"")</f>
        <v>0</v>
      </c>
      <c r="H196" s="70">
        <f>IF(Pay_Num&lt;&gt;"",Beg_Bal*Interest_Rate/Num_Pmt_Per_Year,"")</f>
        <v>0</v>
      </c>
      <c r="I196" s="70">
        <f>IF(AND(Pay_Num&lt;&gt;"",Sched_Pay+Extra_Pay&lt;Beg_Bal),Beg_Bal-Princ,IF(Pay_Num&lt;&gt;"",0,""))</f>
        <v>0</v>
      </c>
      <c r="J196" s="70">
        <f>SUM($H$18:$H196)</f>
        <v>8041.5444282238004</v>
      </c>
    </row>
    <row r="197" spans="1:10" x14ac:dyDescent="0.3">
      <c r="A197" s="36">
        <f>IF(Values_Entered,A196+1,"")</f>
        <v>180</v>
      </c>
      <c r="B197" s="35">
        <f>IF(Pay_Num&lt;&gt;"",DATE(YEAR(Loan_Start),MONTH(Loan_Start)+(Pay_Num)*12/Num_Pmt_Per_Year,DAY(Loan_Start)),"")</f>
        <v>50861</v>
      </c>
      <c r="C197" s="70">
        <f>IF(Pay_Num&lt;&gt;"",I196,"")</f>
        <v>0</v>
      </c>
      <c r="D197" s="70">
        <f>IF(Pay_Num&lt;&gt;"",Scheduled_Monthly_Payment,"")</f>
        <v>2418.3976845093252</v>
      </c>
      <c r="E197" s="71">
        <f>IF(AND(Pay_Num&lt;&gt;"",Sched_Pay+Scheduled_Extra_Payments&lt;Beg_Bal),Scheduled_Extra_Payments,IF(AND(Pay_Num&lt;&gt;"",Beg_Bal-Sched_Pay&gt;0),Beg_Bal-Sched_Pay,IF(Pay_Num&lt;&gt;"",0,"")))</f>
        <v>0</v>
      </c>
      <c r="F197" s="70">
        <f>IF(AND(Pay_Num&lt;&gt;"",Sched_Pay+Extra_Pay&lt;Beg_Bal),Sched_Pay+Extra_Pay,IF(Pay_Num&lt;&gt;"",Beg_Bal,""))</f>
        <v>0</v>
      </c>
      <c r="G197" s="70">
        <f>IF(Pay_Num&lt;&gt;"",Total_Pay-Int,"")</f>
        <v>0</v>
      </c>
      <c r="H197" s="70">
        <f>IF(Pay_Num&lt;&gt;"",Beg_Bal*Interest_Rate/Num_Pmt_Per_Year,"")</f>
        <v>0</v>
      </c>
      <c r="I197" s="70">
        <f>IF(AND(Pay_Num&lt;&gt;"",Sched_Pay+Extra_Pay&lt;Beg_Bal),Beg_Bal-Princ,IF(Pay_Num&lt;&gt;"",0,""))</f>
        <v>0</v>
      </c>
      <c r="J197" s="70">
        <f>SUM($H$18:$H197)</f>
        <v>8041.5444282238004</v>
      </c>
    </row>
    <row r="198" spans="1:10" x14ac:dyDescent="0.3">
      <c r="A198" s="36">
        <f>IF(Values_Entered,A197+1,"")</f>
        <v>181</v>
      </c>
      <c r="B198" s="35">
        <f>IF(Pay_Num&lt;&gt;"",DATE(YEAR(Loan_Start),MONTH(Loan_Start)+(Pay_Num)*12/Num_Pmt_Per_Year,DAY(Loan_Start)),"")</f>
        <v>50891</v>
      </c>
      <c r="C198" s="70">
        <f>IF(Pay_Num&lt;&gt;"",I197,"")</f>
        <v>0</v>
      </c>
      <c r="D198" s="70">
        <f>IF(Pay_Num&lt;&gt;"",Scheduled_Monthly_Payment,"")</f>
        <v>2418.3976845093252</v>
      </c>
      <c r="E198" s="71">
        <f>IF(AND(Pay_Num&lt;&gt;"",Sched_Pay+Scheduled_Extra_Payments&lt;Beg_Bal),Scheduled_Extra_Payments,IF(AND(Pay_Num&lt;&gt;"",Beg_Bal-Sched_Pay&gt;0),Beg_Bal-Sched_Pay,IF(Pay_Num&lt;&gt;"",0,"")))</f>
        <v>0</v>
      </c>
      <c r="F198" s="70">
        <f>IF(AND(Pay_Num&lt;&gt;"",Sched_Pay+Extra_Pay&lt;Beg_Bal),Sched_Pay+Extra_Pay,IF(Pay_Num&lt;&gt;"",Beg_Bal,""))</f>
        <v>0</v>
      </c>
      <c r="G198" s="70">
        <f>IF(Pay_Num&lt;&gt;"",Total_Pay-Int,"")</f>
        <v>0</v>
      </c>
      <c r="H198" s="70">
        <f>IF(Pay_Num&lt;&gt;"",Beg_Bal*Interest_Rate/Num_Pmt_Per_Year,"")</f>
        <v>0</v>
      </c>
      <c r="I198" s="70">
        <f>IF(AND(Pay_Num&lt;&gt;"",Sched_Pay+Extra_Pay&lt;Beg_Bal),Beg_Bal-Princ,IF(Pay_Num&lt;&gt;"",0,""))</f>
        <v>0</v>
      </c>
      <c r="J198" s="70">
        <f>SUM($H$18:$H198)</f>
        <v>8041.5444282238004</v>
      </c>
    </row>
    <row r="199" spans="1:10" x14ac:dyDescent="0.3">
      <c r="A199" s="36">
        <f>IF(Values_Entered,A198+1,"")</f>
        <v>182</v>
      </c>
      <c r="B199" s="35">
        <f>IF(Pay_Num&lt;&gt;"",DATE(YEAR(Loan_Start),MONTH(Loan_Start)+(Pay_Num)*12/Num_Pmt_Per_Year,DAY(Loan_Start)),"")</f>
        <v>50922</v>
      </c>
      <c r="C199" s="70">
        <f>IF(Pay_Num&lt;&gt;"",I198,"")</f>
        <v>0</v>
      </c>
      <c r="D199" s="70">
        <f>IF(Pay_Num&lt;&gt;"",Scheduled_Monthly_Payment,"")</f>
        <v>2418.3976845093252</v>
      </c>
      <c r="E199" s="71">
        <f>IF(AND(Pay_Num&lt;&gt;"",Sched_Pay+Scheduled_Extra_Payments&lt;Beg_Bal),Scheduled_Extra_Payments,IF(AND(Pay_Num&lt;&gt;"",Beg_Bal-Sched_Pay&gt;0),Beg_Bal-Sched_Pay,IF(Pay_Num&lt;&gt;"",0,"")))</f>
        <v>0</v>
      </c>
      <c r="F199" s="70">
        <f>IF(AND(Pay_Num&lt;&gt;"",Sched_Pay+Extra_Pay&lt;Beg_Bal),Sched_Pay+Extra_Pay,IF(Pay_Num&lt;&gt;"",Beg_Bal,""))</f>
        <v>0</v>
      </c>
      <c r="G199" s="70">
        <f>IF(Pay_Num&lt;&gt;"",Total_Pay-Int,"")</f>
        <v>0</v>
      </c>
      <c r="H199" s="70">
        <f>IF(Pay_Num&lt;&gt;"",Beg_Bal*Interest_Rate/Num_Pmt_Per_Year,"")</f>
        <v>0</v>
      </c>
      <c r="I199" s="70">
        <f>IF(AND(Pay_Num&lt;&gt;"",Sched_Pay+Extra_Pay&lt;Beg_Bal),Beg_Bal-Princ,IF(Pay_Num&lt;&gt;"",0,""))</f>
        <v>0</v>
      </c>
      <c r="J199" s="70">
        <f>SUM($H$18:$H199)</f>
        <v>8041.5444282238004</v>
      </c>
    </row>
    <row r="200" spans="1:10" x14ac:dyDescent="0.3">
      <c r="A200" s="36">
        <f>IF(Values_Entered,A199+1,"")</f>
        <v>183</v>
      </c>
      <c r="B200" s="35">
        <f>IF(Pay_Num&lt;&gt;"",DATE(YEAR(Loan_Start),MONTH(Loan_Start)+(Pay_Num)*12/Num_Pmt_Per_Year,DAY(Loan_Start)),"")</f>
        <v>50952</v>
      </c>
      <c r="C200" s="70">
        <f>IF(Pay_Num&lt;&gt;"",I199,"")</f>
        <v>0</v>
      </c>
      <c r="D200" s="70">
        <f>IF(Pay_Num&lt;&gt;"",Scheduled_Monthly_Payment,"")</f>
        <v>2418.3976845093252</v>
      </c>
      <c r="E200" s="71">
        <f>IF(AND(Pay_Num&lt;&gt;"",Sched_Pay+Scheduled_Extra_Payments&lt;Beg_Bal),Scheduled_Extra_Payments,IF(AND(Pay_Num&lt;&gt;"",Beg_Bal-Sched_Pay&gt;0),Beg_Bal-Sched_Pay,IF(Pay_Num&lt;&gt;"",0,"")))</f>
        <v>0</v>
      </c>
      <c r="F200" s="70">
        <f>IF(AND(Pay_Num&lt;&gt;"",Sched_Pay+Extra_Pay&lt;Beg_Bal),Sched_Pay+Extra_Pay,IF(Pay_Num&lt;&gt;"",Beg_Bal,""))</f>
        <v>0</v>
      </c>
      <c r="G200" s="70">
        <f>IF(Pay_Num&lt;&gt;"",Total_Pay-Int,"")</f>
        <v>0</v>
      </c>
      <c r="H200" s="70">
        <f>IF(Pay_Num&lt;&gt;"",Beg_Bal*Interest_Rate/Num_Pmt_Per_Year,"")</f>
        <v>0</v>
      </c>
      <c r="I200" s="70">
        <f>IF(AND(Pay_Num&lt;&gt;"",Sched_Pay+Extra_Pay&lt;Beg_Bal),Beg_Bal-Princ,IF(Pay_Num&lt;&gt;"",0,""))</f>
        <v>0</v>
      </c>
      <c r="J200" s="70">
        <f>SUM($H$18:$H200)</f>
        <v>8041.5444282238004</v>
      </c>
    </row>
    <row r="201" spans="1:10" x14ac:dyDescent="0.3">
      <c r="A201" s="36">
        <f>IF(Values_Entered,A200+1,"")</f>
        <v>184</v>
      </c>
      <c r="B201" s="35">
        <f>IF(Pay_Num&lt;&gt;"",DATE(YEAR(Loan_Start),MONTH(Loan_Start)+(Pay_Num)*12/Num_Pmt_Per_Year,DAY(Loan_Start)),"")</f>
        <v>50983</v>
      </c>
      <c r="C201" s="70">
        <f>IF(Pay_Num&lt;&gt;"",I200,"")</f>
        <v>0</v>
      </c>
      <c r="D201" s="70">
        <f>IF(Pay_Num&lt;&gt;"",Scheduled_Monthly_Payment,"")</f>
        <v>2418.3976845093252</v>
      </c>
      <c r="E201" s="71">
        <f>IF(AND(Pay_Num&lt;&gt;"",Sched_Pay+Scheduled_Extra_Payments&lt;Beg_Bal),Scheduled_Extra_Payments,IF(AND(Pay_Num&lt;&gt;"",Beg_Bal-Sched_Pay&gt;0),Beg_Bal-Sched_Pay,IF(Pay_Num&lt;&gt;"",0,"")))</f>
        <v>0</v>
      </c>
      <c r="F201" s="70">
        <f>IF(AND(Pay_Num&lt;&gt;"",Sched_Pay+Extra_Pay&lt;Beg_Bal),Sched_Pay+Extra_Pay,IF(Pay_Num&lt;&gt;"",Beg_Bal,""))</f>
        <v>0</v>
      </c>
      <c r="G201" s="70">
        <f>IF(Pay_Num&lt;&gt;"",Total_Pay-Int,"")</f>
        <v>0</v>
      </c>
      <c r="H201" s="70">
        <f>IF(Pay_Num&lt;&gt;"",Beg_Bal*Interest_Rate/Num_Pmt_Per_Year,"")</f>
        <v>0</v>
      </c>
      <c r="I201" s="70">
        <f>IF(AND(Pay_Num&lt;&gt;"",Sched_Pay+Extra_Pay&lt;Beg_Bal),Beg_Bal-Princ,IF(Pay_Num&lt;&gt;"",0,""))</f>
        <v>0</v>
      </c>
      <c r="J201" s="70">
        <f>SUM($H$18:$H201)</f>
        <v>8041.5444282238004</v>
      </c>
    </row>
    <row r="202" spans="1:10" x14ac:dyDescent="0.3">
      <c r="A202" s="36">
        <f>IF(Values_Entered,A201+1,"")</f>
        <v>185</v>
      </c>
      <c r="B202" s="35">
        <f>IF(Pay_Num&lt;&gt;"",DATE(YEAR(Loan_Start),MONTH(Loan_Start)+(Pay_Num)*12/Num_Pmt_Per_Year,DAY(Loan_Start)),"")</f>
        <v>51014</v>
      </c>
      <c r="C202" s="70">
        <f>IF(Pay_Num&lt;&gt;"",I201,"")</f>
        <v>0</v>
      </c>
      <c r="D202" s="70">
        <f>IF(Pay_Num&lt;&gt;"",Scheduled_Monthly_Payment,"")</f>
        <v>2418.3976845093252</v>
      </c>
      <c r="E202" s="71">
        <f>IF(AND(Pay_Num&lt;&gt;"",Sched_Pay+Scheduled_Extra_Payments&lt;Beg_Bal),Scheduled_Extra_Payments,IF(AND(Pay_Num&lt;&gt;"",Beg_Bal-Sched_Pay&gt;0),Beg_Bal-Sched_Pay,IF(Pay_Num&lt;&gt;"",0,"")))</f>
        <v>0</v>
      </c>
      <c r="F202" s="70">
        <f>IF(AND(Pay_Num&lt;&gt;"",Sched_Pay+Extra_Pay&lt;Beg_Bal),Sched_Pay+Extra_Pay,IF(Pay_Num&lt;&gt;"",Beg_Bal,""))</f>
        <v>0</v>
      </c>
      <c r="G202" s="70">
        <f>IF(Pay_Num&lt;&gt;"",Total_Pay-Int,"")</f>
        <v>0</v>
      </c>
      <c r="H202" s="70">
        <f>IF(Pay_Num&lt;&gt;"",Beg_Bal*Interest_Rate/Num_Pmt_Per_Year,"")</f>
        <v>0</v>
      </c>
      <c r="I202" s="70">
        <f>IF(AND(Pay_Num&lt;&gt;"",Sched_Pay+Extra_Pay&lt;Beg_Bal),Beg_Bal-Princ,IF(Pay_Num&lt;&gt;"",0,""))</f>
        <v>0</v>
      </c>
      <c r="J202" s="70">
        <f>SUM($H$18:$H202)</f>
        <v>8041.5444282238004</v>
      </c>
    </row>
    <row r="203" spans="1:10" x14ac:dyDescent="0.3">
      <c r="A203" s="36">
        <f>IF(Values_Entered,A202+1,"")</f>
        <v>186</v>
      </c>
      <c r="B203" s="35">
        <f>IF(Pay_Num&lt;&gt;"",DATE(YEAR(Loan_Start),MONTH(Loan_Start)+(Pay_Num)*12/Num_Pmt_Per_Year,DAY(Loan_Start)),"")</f>
        <v>51044</v>
      </c>
      <c r="C203" s="70">
        <f>IF(Pay_Num&lt;&gt;"",I202,"")</f>
        <v>0</v>
      </c>
      <c r="D203" s="70">
        <f>IF(Pay_Num&lt;&gt;"",Scheduled_Monthly_Payment,"")</f>
        <v>2418.3976845093252</v>
      </c>
      <c r="E203" s="71">
        <f>IF(AND(Pay_Num&lt;&gt;"",Sched_Pay+Scheduled_Extra_Payments&lt;Beg_Bal),Scheduled_Extra_Payments,IF(AND(Pay_Num&lt;&gt;"",Beg_Bal-Sched_Pay&gt;0),Beg_Bal-Sched_Pay,IF(Pay_Num&lt;&gt;"",0,"")))</f>
        <v>0</v>
      </c>
      <c r="F203" s="70">
        <f>IF(AND(Pay_Num&lt;&gt;"",Sched_Pay+Extra_Pay&lt;Beg_Bal),Sched_Pay+Extra_Pay,IF(Pay_Num&lt;&gt;"",Beg_Bal,""))</f>
        <v>0</v>
      </c>
      <c r="G203" s="70">
        <f>IF(Pay_Num&lt;&gt;"",Total_Pay-Int,"")</f>
        <v>0</v>
      </c>
      <c r="H203" s="70">
        <f>IF(Pay_Num&lt;&gt;"",Beg_Bal*Interest_Rate/Num_Pmt_Per_Year,"")</f>
        <v>0</v>
      </c>
      <c r="I203" s="70">
        <f>IF(AND(Pay_Num&lt;&gt;"",Sched_Pay+Extra_Pay&lt;Beg_Bal),Beg_Bal-Princ,IF(Pay_Num&lt;&gt;"",0,""))</f>
        <v>0</v>
      </c>
      <c r="J203" s="70">
        <f>SUM($H$18:$H203)</f>
        <v>8041.5444282238004</v>
      </c>
    </row>
    <row r="204" spans="1:10" x14ac:dyDescent="0.3">
      <c r="A204" s="36">
        <f>IF(Values_Entered,A203+1,"")</f>
        <v>187</v>
      </c>
      <c r="B204" s="35">
        <f>IF(Pay_Num&lt;&gt;"",DATE(YEAR(Loan_Start),MONTH(Loan_Start)+(Pay_Num)*12/Num_Pmt_Per_Year,DAY(Loan_Start)),"")</f>
        <v>51075</v>
      </c>
      <c r="C204" s="70">
        <f>IF(Pay_Num&lt;&gt;"",I203,"")</f>
        <v>0</v>
      </c>
      <c r="D204" s="70">
        <f>IF(Pay_Num&lt;&gt;"",Scheduled_Monthly_Payment,"")</f>
        <v>2418.3976845093252</v>
      </c>
      <c r="E204" s="71">
        <f>IF(AND(Pay_Num&lt;&gt;"",Sched_Pay+Scheduled_Extra_Payments&lt;Beg_Bal),Scheduled_Extra_Payments,IF(AND(Pay_Num&lt;&gt;"",Beg_Bal-Sched_Pay&gt;0),Beg_Bal-Sched_Pay,IF(Pay_Num&lt;&gt;"",0,"")))</f>
        <v>0</v>
      </c>
      <c r="F204" s="70">
        <f>IF(AND(Pay_Num&lt;&gt;"",Sched_Pay+Extra_Pay&lt;Beg_Bal),Sched_Pay+Extra_Pay,IF(Pay_Num&lt;&gt;"",Beg_Bal,""))</f>
        <v>0</v>
      </c>
      <c r="G204" s="70">
        <f>IF(Pay_Num&lt;&gt;"",Total_Pay-Int,"")</f>
        <v>0</v>
      </c>
      <c r="H204" s="70">
        <f>IF(Pay_Num&lt;&gt;"",Beg_Bal*Interest_Rate/Num_Pmt_Per_Year,"")</f>
        <v>0</v>
      </c>
      <c r="I204" s="70">
        <f>IF(AND(Pay_Num&lt;&gt;"",Sched_Pay+Extra_Pay&lt;Beg_Bal),Beg_Bal-Princ,IF(Pay_Num&lt;&gt;"",0,""))</f>
        <v>0</v>
      </c>
      <c r="J204" s="70">
        <f>SUM($H$18:$H204)</f>
        <v>8041.5444282238004</v>
      </c>
    </row>
    <row r="205" spans="1:10" x14ac:dyDescent="0.3">
      <c r="A205" s="36">
        <f>IF(Values_Entered,A204+1,"")</f>
        <v>188</v>
      </c>
      <c r="B205" s="35">
        <f>IF(Pay_Num&lt;&gt;"",DATE(YEAR(Loan_Start),MONTH(Loan_Start)+(Pay_Num)*12/Num_Pmt_Per_Year,DAY(Loan_Start)),"")</f>
        <v>51105</v>
      </c>
      <c r="C205" s="70">
        <f>IF(Pay_Num&lt;&gt;"",I204,"")</f>
        <v>0</v>
      </c>
      <c r="D205" s="70">
        <f>IF(Pay_Num&lt;&gt;"",Scheduled_Monthly_Payment,"")</f>
        <v>2418.3976845093252</v>
      </c>
      <c r="E205" s="71">
        <f>IF(AND(Pay_Num&lt;&gt;"",Sched_Pay+Scheduled_Extra_Payments&lt;Beg_Bal),Scheduled_Extra_Payments,IF(AND(Pay_Num&lt;&gt;"",Beg_Bal-Sched_Pay&gt;0),Beg_Bal-Sched_Pay,IF(Pay_Num&lt;&gt;"",0,"")))</f>
        <v>0</v>
      </c>
      <c r="F205" s="70">
        <f>IF(AND(Pay_Num&lt;&gt;"",Sched_Pay+Extra_Pay&lt;Beg_Bal),Sched_Pay+Extra_Pay,IF(Pay_Num&lt;&gt;"",Beg_Bal,""))</f>
        <v>0</v>
      </c>
      <c r="G205" s="70">
        <f>IF(Pay_Num&lt;&gt;"",Total_Pay-Int,"")</f>
        <v>0</v>
      </c>
      <c r="H205" s="70">
        <f>IF(Pay_Num&lt;&gt;"",Beg_Bal*Interest_Rate/Num_Pmt_Per_Year,"")</f>
        <v>0</v>
      </c>
      <c r="I205" s="70">
        <f>IF(AND(Pay_Num&lt;&gt;"",Sched_Pay+Extra_Pay&lt;Beg_Bal),Beg_Bal-Princ,IF(Pay_Num&lt;&gt;"",0,""))</f>
        <v>0</v>
      </c>
      <c r="J205" s="70">
        <f>SUM($H$18:$H205)</f>
        <v>8041.5444282238004</v>
      </c>
    </row>
    <row r="206" spans="1:10" x14ac:dyDescent="0.3">
      <c r="A206" s="36">
        <f>IF(Values_Entered,A205+1,"")</f>
        <v>189</v>
      </c>
      <c r="B206" s="35">
        <f>IF(Pay_Num&lt;&gt;"",DATE(YEAR(Loan_Start),MONTH(Loan_Start)+(Pay_Num)*12/Num_Pmt_Per_Year,DAY(Loan_Start)),"")</f>
        <v>51136</v>
      </c>
      <c r="C206" s="70">
        <f>IF(Pay_Num&lt;&gt;"",I205,"")</f>
        <v>0</v>
      </c>
      <c r="D206" s="70">
        <f>IF(Pay_Num&lt;&gt;"",Scheduled_Monthly_Payment,"")</f>
        <v>2418.3976845093252</v>
      </c>
      <c r="E206" s="71">
        <f>IF(AND(Pay_Num&lt;&gt;"",Sched_Pay+Scheduled_Extra_Payments&lt;Beg_Bal),Scheduled_Extra_Payments,IF(AND(Pay_Num&lt;&gt;"",Beg_Bal-Sched_Pay&gt;0),Beg_Bal-Sched_Pay,IF(Pay_Num&lt;&gt;"",0,"")))</f>
        <v>0</v>
      </c>
      <c r="F206" s="70">
        <f>IF(AND(Pay_Num&lt;&gt;"",Sched_Pay+Extra_Pay&lt;Beg_Bal),Sched_Pay+Extra_Pay,IF(Pay_Num&lt;&gt;"",Beg_Bal,""))</f>
        <v>0</v>
      </c>
      <c r="G206" s="70">
        <f>IF(Pay_Num&lt;&gt;"",Total_Pay-Int,"")</f>
        <v>0</v>
      </c>
      <c r="H206" s="70">
        <f>IF(Pay_Num&lt;&gt;"",Beg_Bal*Interest_Rate/Num_Pmt_Per_Year,"")</f>
        <v>0</v>
      </c>
      <c r="I206" s="70">
        <f>IF(AND(Pay_Num&lt;&gt;"",Sched_Pay+Extra_Pay&lt;Beg_Bal),Beg_Bal-Princ,IF(Pay_Num&lt;&gt;"",0,""))</f>
        <v>0</v>
      </c>
      <c r="J206" s="70">
        <f>SUM($H$18:$H206)</f>
        <v>8041.5444282238004</v>
      </c>
    </row>
    <row r="207" spans="1:10" x14ac:dyDescent="0.3">
      <c r="A207" s="36">
        <f>IF(Values_Entered,A206+1,"")</f>
        <v>190</v>
      </c>
      <c r="B207" s="35">
        <f>IF(Pay_Num&lt;&gt;"",DATE(YEAR(Loan_Start),MONTH(Loan_Start)+(Pay_Num)*12/Num_Pmt_Per_Year,DAY(Loan_Start)),"")</f>
        <v>51167</v>
      </c>
      <c r="C207" s="70">
        <f>IF(Pay_Num&lt;&gt;"",I206,"")</f>
        <v>0</v>
      </c>
      <c r="D207" s="70">
        <f>IF(Pay_Num&lt;&gt;"",Scheduled_Monthly_Payment,"")</f>
        <v>2418.3976845093252</v>
      </c>
      <c r="E207" s="71">
        <f>IF(AND(Pay_Num&lt;&gt;"",Sched_Pay+Scheduled_Extra_Payments&lt;Beg_Bal),Scheduled_Extra_Payments,IF(AND(Pay_Num&lt;&gt;"",Beg_Bal-Sched_Pay&gt;0),Beg_Bal-Sched_Pay,IF(Pay_Num&lt;&gt;"",0,"")))</f>
        <v>0</v>
      </c>
      <c r="F207" s="70">
        <f>IF(AND(Pay_Num&lt;&gt;"",Sched_Pay+Extra_Pay&lt;Beg_Bal),Sched_Pay+Extra_Pay,IF(Pay_Num&lt;&gt;"",Beg_Bal,""))</f>
        <v>0</v>
      </c>
      <c r="G207" s="70">
        <f>IF(Pay_Num&lt;&gt;"",Total_Pay-Int,"")</f>
        <v>0</v>
      </c>
      <c r="H207" s="70">
        <f>IF(Pay_Num&lt;&gt;"",Beg_Bal*Interest_Rate/Num_Pmt_Per_Year,"")</f>
        <v>0</v>
      </c>
      <c r="I207" s="70">
        <f>IF(AND(Pay_Num&lt;&gt;"",Sched_Pay+Extra_Pay&lt;Beg_Bal),Beg_Bal-Princ,IF(Pay_Num&lt;&gt;"",0,""))</f>
        <v>0</v>
      </c>
      <c r="J207" s="70">
        <f>SUM($H$18:$H207)</f>
        <v>8041.5444282238004</v>
      </c>
    </row>
    <row r="208" spans="1:10" x14ac:dyDescent="0.3">
      <c r="A208" s="36">
        <f>IF(Values_Entered,A207+1,"")</f>
        <v>191</v>
      </c>
      <c r="B208" s="35">
        <f>IF(Pay_Num&lt;&gt;"",DATE(YEAR(Loan_Start),MONTH(Loan_Start)+(Pay_Num)*12/Num_Pmt_Per_Year,DAY(Loan_Start)),"")</f>
        <v>51196</v>
      </c>
      <c r="C208" s="70">
        <f>IF(Pay_Num&lt;&gt;"",I207,"")</f>
        <v>0</v>
      </c>
      <c r="D208" s="70">
        <f>IF(Pay_Num&lt;&gt;"",Scheduled_Monthly_Payment,"")</f>
        <v>2418.3976845093252</v>
      </c>
      <c r="E208" s="71">
        <f>IF(AND(Pay_Num&lt;&gt;"",Sched_Pay+Scheduled_Extra_Payments&lt;Beg_Bal),Scheduled_Extra_Payments,IF(AND(Pay_Num&lt;&gt;"",Beg_Bal-Sched_Pay&gt;0),Beg_Bal-Sched_Pay,IF(Pay_Num&lt;&gt;"",0,"")))</f>
        <v>0</v>
      </c>
      <c r="F208" s="70">
        <f>IF(AND(Pay_Num&lt;&gt;"",Sched_Pay+Extra_Pay&lt;Beg_Bal),Sched_Pay+Extra_Pay,IF(Pay_Num&lt;&gt;"",Beg_Bal,""))</f>
        <v>0</v>
      </c>
      <c r="G208" s="70">
        <f>IF(Pay_Num&lt;&gt;"",Total_Pay-Int,"")</f>
        <v>0</v>
      </c>
      <c r="H208" s="70">
        <f>IF(Pay_Num&lt;&gt;"",Beg_Bal*Interest_Rate/Num_Pmt_Per_Year,"")</f>
        <v>0</v>
      </c>
      <c r="I208" s="70">
        <f>IF(AND(Pay_Num&lt;&gt;"",Sched_Pay+Extra_Pay&lt;Beg_Bal),Beg_Bal-Princ,IF(Pay_Num&lt;&gt;"",0,""))</f>
        <v>0</v>
      </c>
      <c r="J208" s="70">
        <f>SUM($H$18:$H208)</f>
        <v>8041.5444282238004</v>
      </c>
    </row>
    <row r="209" spans="1:10" x14ac:dyDescent="0.3">
      <c r="A209" s="36">
        <f>IF(Values_Entered,A208+1,"")</f>
        <v>192</v>
      </c>
      <c r="B209" s="35">
        <f>IF(Pay_Num&lt;&gt;"",DATE(YEAR(Loan_Start),MONTH(Loan_Start)+(Pay_Num)*12/Num_Pmt_Per_Year,DAY(Loan_Start)),"")</f>
        <v>51227</v>
      </c>
      <c r="C209" s="70">
        <f>IF(Pay_Num&lt;&gt;"",I208,"")</f>
        <v>0</v>
      </c>
      <c r="D209" s="70">
        <f>IF(Pay_Num&lt;&gt;"",Scheduled_Monthly_Payment,"")</f>
        <v>2418.3976845093252</v>
      </c>
      <c r="E209" s="71">
        <f>IF(AND(Pay_Num&lt;&gt;"",Sched_Pay+Scheduled_Extra_Payments&lt;Beg_Bal),Scheduled_Extra_Payments,IF(AND(Pay_Num&lt;&gt;"",Beg_Bal-Sched_Pay&gt;0),Beg_Bal-Sched_Pay,IF(Pay_Num&lt;&gt;"",0,"")))</f>
        <v>0</v>
      </c>
      <c r="F209" s="70">
        <f>IF(AND(Pay_Num&lt;&gt;"",Sched_Pay+Extra_Pay&lt;Beg_Bal),Sched_Pay+Extra_Pay,IF(Pay_Num&lt;&gt;"",Beg_Bal,""))</f>
        <v>0</v>
      </c>
      <c r="G209" s="70">
        <f>IF(Pay_Num&lt;&gt;"",Total_Pay-Int,"")</f>
        <v>0</v>
      </c>
      <c r="H209" s="70">
        <f>IF(Pay_Num&lt;&gt;"",Beg_Bal*Interest_Rate/Num_Pmt_Per_Year,"")</f>
        <v>0</v>
      </c>
      <c r="I209" s="70">
        <f>IF(AND(Pay_Num&lt;&gt;"",Sched_Pay+Extra_Pay&lt;Beg_Bal),Beg_Bal-Princ,IF(Pay_Num&lt;&gt;"",0,""))</f>
        <v>0</v>
      </c>
      <c r="J209" s="70">
        <f>SUM($H$18:$H209)</f>
        <v>8041.5444282238004</v>
      </c>
    </row>
    <row r="210" spans="1:10" x14ac:dyDescent="0.3">
      <c r="A210" s="36">
        <f>IF(Values_Entered,A209+1,"")</f>
        <v>193</v>
      </c>
      <c r="B210" s="35">
        <f>IF(Pay_Num&lt;&gt;"",DATE(YEAR(Loan_Start),MONTH(Loan_Start)+(Pay_Num)*12/Num_Pmt_Per_Year,DAY(Loan_Start)),"")</f>
        <v>51257</v>
      </c>
      <c r="C210" s="70">
        <f>IF(Pay_Num&lt;&gt;"",I209,"")</f>
        <v>0</v>
      </c>
      <c r="D210" s="70">
        <f>IF(Pay_Num&lt;&gt;"",Scheduled_Monthly_Payment,"")</f>
        <v>2418.3976845093252</v>
      </c>
      <c r="E210" s="71">
        <f>IF(AND(Pay_Num&lt;&gt;"",Sched_Pay+Scheduled_Extra_Payments&lt;Beg_Bal),Scheduled_Extra_Payments,IF(AND(Pay_Num&lt;&gt;"",Beg_Bal-Sched_Pay&gt;0),Beg_Bal-Sched_Pay,IF(Pay_Num&lt;&gt;"",0,"")))</f>
        <v>0</v>
      </c>
      <c r="F210" s="70">
        <f>IF(AND(Pay_Num&lt;&gt;"",Sched_Pay+Extra_Pay&lt;Beg_Bal),Sched_Pay+Extra_Pay,IF(Pay_Num&lt;&gt;"",Beg_Bal,""))</f>
        <v>0</v>
      </c>
      <c r="G210" s="70">
        <f>IF(Pay_Num&lt;&gt;"",Total_Pay-Int,"")</f>
        <v>0</v>
      </c>
      <c r="H210" s="70">
        <f>IF(Pay_Num&lt;&gt;"",Beg_Bal*Interest_Rate/Num_Pmt_Per_Year,"")</f>
        <v>0</v>
      </c>
      <c r="I210" s="70">
        <f>IF(AND(Pay_Num&lt;&gt;"",Sched_Pay+Extra_Pay&lt;Beg_Bal),Beg_Bal-Princ,IF(Pay_Num&lt;&gt;"",0,""))</f>
        <v>0</v>
      </c>
      <c r="J210" s="70">
        <f>SUM($H$18:$H210)</f>
        <v>8041.5444282238004</v>
      </c>
    </row>
    <row r="211" spans="1:10" x14ac:dyDescent="0.3">
      <c r="A211" s="36">
        <f>IF(Values_Entered,A210+1,"")</f>
        <v>194</v>
      </c>
      <c r="B211" s="35">
        <f>IF(Pay_Num&lt;&gt;"",DATE(YEAR(Loan_Start),MONTH(Loan_Start)+(Pay_Num)*12/Num_Pmt_Per_Year,DAY(Loan_Start)),"")</f>
        <v>51288</v>
      </c>
      <c r="C211" s="70">
        <f>IF(Pay_Num&lt;&gt;"",I210,"")</f>
        <v>0</v>
      </c>
      <c r="D211" s="70">
        <f>IF(Pay_Num&lt;&gt;"",Scheduled_Monthly_Payment,"")</f>
        <v>2418.3976845093252</v>
      </c>
      <c r="E211" s="71">
        <f>IF(AND(Pay_Num&lt;&gt;"",Sched_Pay+Scheduled_Extra_Payments&lt;Beg_Bal),Scheduled_Extra_Payments,IF(AND(Pay_Num&lt;&gt;"",Beg_Bal-Sched_Pay&gt;0),Beg_Bal-Sched_Pay,IF(Pay_Num&lt;&gt;"",0,"")))</f>
        <v>0</v>
      </c>
      <c r="F211" s="70">
        <f>IF(AND(Pay_Num&lt;&gt;"",Sched_Pay+Extra_Pay&lt;Beg_Bal),Sched_Pay+Extra_Pay,IF(Pay_Num&lt;&gt;"",Beg_Bal,""))</f>
        <v>0</v>
      </c>
      <c r="G211" s="70">
        <f>IF(Pay_Num&lt;&gt;"",Total_Pay-Int,"")</f>
        <v>0</v>
      </c>
      <c r="H211" s="70">
        <f>IF(Pay_Num&lt;&gt;"",Beg_Bal*Interest_Rate/Num_Pmt_Per_Year,"")</f>
        <v>0</v>
      </c>
      <c r="I211" s="70">
        <f>IF(AND(Pay_Num&lt;&gt;"",Sched_Pay+Extra_Pay&lt;Beg_Bal),Beg_Bal-Princ,IF(Pay_Num&lt;&gt;"",0,""))</f>
        <v>0</v>
      </c>
      <c r="J211" s="70">
        <f>SUM($H$18:$H211)</f>
        <v>8041.5444282238004</v>
      </c>
    </row>
    <row r="212" spans="1:10" x14ac:dyDescent="0.3">
      <c r="A212" s="36">
        <f>IF(Values_Entered,A211+1,"")</f>
        <v>195</v>
      </c>
      <c r="B212" s="35">
        <f>IF(Pay_Num&lt;&gt;"",DATE(YEAR(Loan_Start),MONTH(Loan_Start)+(Pay_Num)*12/Num_Pmt_Per_Year,DAY(Loan_Start)),"")</f>
        <v>51318</v>
      </c>
      <c r="C212" s="70">
        <f>IF(Pay_Num&lt;&gt;"",I211,"")</f>
        <v>0</v>
      </c>
      <c r="D212" s="70">
        <f>IF(Pay_Num&lt;&gt;"",Scheduled_Monthly_Payment,"")</f>
        <v>2418.3976845093252</v>
      </c>
      <c r="E212" s="71">
        <f>IF(AND(Pay_Num&lt;&gt;"",Sched_Pay+Scheduled_Extra_Payments&lt;Beg_Bal),Scheduled_Extra_Payments,IF(AND(Pay_Num&lt;&gt;"",Beg_Bal-Sched_Pay&gt;0),Beg_Bal-Sched_Pay,IF(Pay_Num&lt;&gt;"",0,"")))</f>
        <v>0</v>
      </c>
      <c r="F212" s="70">
        <f>IF(AND(Pay_Num&lt;&gt;"",Sched_Pay+Extra_Pay&lt;Beg_Bal),Sched_Pay+Extra_Pay,IF(Pay_Num&lt;&gt;"",Beg_Bal,""))</f>
        <v>0</v>
      </c>
      <c r="G212" s="70">
        <f>IF(Pay_Num&lt;&gt;"",Total_Pay-Int,"")</f>
        <v>0</v>
      </c>
      <c r="H212" s="70">
        <f>IF(Pay_Num&lt;&gt;"",Beg_Bal*Interest_Rate/Num_Pmt_Per_Year,"")</f>
        <v>0</v>
      </c>
      <c r="I212" s="70">
        <f>IF(AND(Pay_Num&lt;&gt;"",Sched_Pay+Extra_Pay&lt;Beg_Bal),Beg_Bal-Princ,IF(Pay_Num&lt;&gt;"",0,""))</f>
        <v>0</v>
      </c>
      <c r="J212" s="70">
        <f>SUM($H$18:$H212)</f>
        <v>8041.5444282238004</v>
      </c>
    </row>
    <row r="213" spans="1:10" x14ac:dyDescent="0.3">
      <c r="A213" s="36">
        <f>IF(Values_Entered,A212+1,"")</f>
        <v>196</v>
      </c>
      <c r="B213" s="35">
        <f>IF(Pay_Num&lt;&gt;"",DATE(YEAR(Loan_Start),MONTH(Loan_Start)+(Pay_Num)*12/Num_Pmt_Per_Year,DAY(Loan_Start)),"")</f>
        <v>51349</v>
      </c>
      <c r="C213" s="70">
        <f>IF(Pay_Num&lt;&gt;"",I212,"")</f>
        <v>0</v>
      </c>
      <c r="D213" s="70">
        <f>IF(Pay_Num&lt;&gt;"",Scheduled_Monthly_Payment,"")</f>
        <v>2418.3976845093252</v>
      </c>
      <c r="E213" s="71">
        <f>IF(AND(Pay_Num&lt;&gt;"",Sched_Pay+Scheduled_Extra_Payments&lt;Beg_Bal),Scheduled_Extra_Payments,IF(AND(Pay_Num&lt;&gt;"",Beg_Bal-Sched_Pay&gt;0),Beg_Bal-Sched_Pay,IF(Pay_Num&lt;&gt;"",0,"")))</f>
        <v>0</v>
      </c>
      <c r="F213" s="70">
        <f>IF(AND(Pay_Num&lt;&gt;"",Sched_Pay+Extra_Pay&lt;Beg_Bal),Sched_Pay+Extra_Pay,IF(Pay_Num&lt;&gt;"",Beg_Bal,""))</f>
        <v>0</v>
      </c>
      <c r="G213" s="70">
        <f>IF(Pay_Num&lt;&gt;"",Total_Pay-Int,"")</f>
        <v>0</v>
      </c>
      <c r="H213" s="70">
        <f>IF(Pay_Num&lt;&gt;"",Beg_Bal*Interest_Rate/Num_Pmt_Per_Year,"")</f>
        <v>0</v>
      </c>
      <c r="I213" s="70">
        <f>IF(AND(Pay_Num&lt;&gt;"",Sched_Pay+Extra_Pay&lt;Beg_Bal),Beg_Bal-Princ,IF(Pay_Num&lt;&gt;"",0,""))</f>
        <v>0</v>
      </c>
      <c r="J213" s="70">
        <f>SUM($H$18:$H213)</f>
        <v>8041.5444282238004</v>
      </c>
    </row>
    <row r="214" spans="1:10" x14ac:dyDescent="0.3">
      <c r="A214" s="36">
        <f>IF(Values_Entered,A213+1,"")</f>
        <v>197</v>
      </c>
      <c r="B214" s="35">
        <f>IF(Pay_Num&lt;&gt;"",DATE(YEAR(Loan_Start),MONTH(Loan_Start)+(Pay_Num)*12/Num_Pmt_Per_Year,DAY(Loan_Start)),"")</f>
        <v>51380</v>
      </c>
      <c r="C214" s="70">
        <f>IF(Pay_Num&lt;&gt;"",I213,"")</f>
        <v>0</v>
      </c>
      <c r="D214" s="70">
        <f>IF(Pay_Num&lt;&gt;"",Scheduled_Monthly_Payment,"")</f>
        <v>2418.3976845093252</v>
      </c>
      <c r="E214" s="71">
        <f>IF(AND(Pay_Num&lt;&gt;"",Sched_Pay+Scheduled_Extra_Payments&lt;Beg_Bal),Scheduled_Extra_Payments,IF(AND(Pay_Num&lt;&gt;"",Beg_Bal-Sched_Pay&gt;0),Beg_Bal-Sched_Pay,IF(Pay_Num&lt;&gt;"",0,"")))</f>
        <v>0</v>
      </c>
      <c r="F214" s="70">
        <f>IF(AND(Pay_Num&lt;&gt;"",Sched_Pay+Extra_Pay&lt;Beg_Bal),Sched_Pay+Extra_Pay,IF(Pay_Num&lt;&gt;"",Beg_Bal,""))</f>
        <v>0</v>
      </c>
      <c r="G214" s="70">
        <f>IF(Pay_Num&lt;&gt;"",Total_Pay-Int,"")</f>
        <v>0</v>
      </c>
      <c r="H214" s="70">
        <f>IF(Pay_Num&lt;&gt;"",Beg_Bal*Interest_Rate/Num_Pmt_Per_Year,"")</f>
        <v>0</v>
      </c>
      <c r="I214" s="70">
        <f>IF(AND(Pay_Num&lt;&gt;"",Sched_Pay+Extra_Pay&lt;Beg_Bal),Beg_Bal-Princ,IF(Pay_Num&lt;&gt;"",0,""))</f>
        <v>0</v>
      </c>
      <c r="J214" s="70">
        <f>SUM($H$18:$H214)</f>
        <v>8041.5444282238004</v>
      </c>
    </row>
    <row r="215" spans="1:10" x14ac:dyDescent="0.3">
      <c r="A215" s="36">
        <f>IF(Values_Entered,A214+1,"")</f>
        <v>198</v>
      </c>
      <c r="B215" s="35">
        <f>IF(Pay_Num&lt;&gt;"",DATE(YEAR(Loan_Start),MONTH(Loan_Start)+(Pay_Num)*12/Num_Pmt_Per_Year,DAY(Loan_Start)),"")</f>
        <v>51410</v>
      </c>
      <c r="C215" s="70">
        <f>IF(Pay_Num&lt;&gt;"",I214,"")</f>
        <v>0</v>
      </c>
      <c r="D215" s="70">
        <f>IF(Pay_Num&lt;&gt;"",Scheduled_Monthly_Payment,"")</f>
        <v>2418.3976845093252</v>
      </c>
      <c r="E215" s="71">
        <f>IF(AND(Pay_Num&lt;&gt;"",Sched_Pay+Scheduled_Extra_Payments&lt;Beg_Bal),Scheduled_Extra_Payments,IF(AND(Pay_Num&lt;&gt;"",Beg_Bal-Sched_Pay&gt;0),Beg_Bal-Sched_Pay,IF(Pay_Num&lt;&gt;"",0,"")))</f>
        <v>0</v>
      </c>
      <c r="F215" s="70">
        <f>IF(AND(Pay_Num&lt;&gt;"",Sched_Pay+Extra_Pay&lt;Beg_Bal),Sched_Pay+Extra_Pay,IF(Pay_Num&lt;&gt;"",Beg_Bal,""))</f>
        <v>0</v>
      </c>
      <c r="G215" s="70">
        <f>IF(Pay_Num&lt;&gt;"",Total_Pay-Int,"")</f>
        <v>0</v>
      </c>
      <c r="H215" s="70">
        <f>IF(Pay_Num&lt;&gt;"",Beg_Bal*Interest_Rate/Num_Pmt_Per_Year,"")</f>
        <v>0</v>
      </c>
      <c r="I215" s="70">
        <f>IF(AND(Pay_Num&lt;&gt;"",Sched_Pay+Extra_Pay&lt;Beg_Bal),Beg_Bal-Princ,IF(Pay_Num&lt;&gt;"",0,""))</f>
        <v>0</v>
      </c>
      <c r="J215" s="70">
        <f>SUM($H$18:$H215)</f>
        <v>8041.5444282238004</v>
      </c>
    </row>
    <row r="216" spans="1:10" x14ac:dyDescent="0.3">
      <c r="A216" s="36">
        <f>IF(Values_Entered,A215+1,"")</f>
        <v>199</v>
      </c>
      <c r="B216" s="35">
        <f>IF(Pay_Num&lt;&gt;"",DATE(YEAR(Loan_Start),MONTH(Loan_Start)+(Pay_Num)*12/Num_Pmt_Per_Year,DAY(Loan_Start)),"")</f>
        <v>51441</v>
      </c>
      <c r="C216" s="70">
        <f>IF(Pay_Num&lt;&gt;"",I215,"")</f>
        <v>0</v>
      </c>
      <c r="D216" s="70">
        <f>IF(Pay_Num&lt;&gt;"",Scheduled_Monthly_Payment,"")</f>
        <v>2418.3976845093252</v>
      </c>
      <c r="E216" s="71">
        <f>IF(AND(Pay_Num&lt;&gt;"",Sched_Pay+Scheduled_Extra_Payments&lt;Beg_Bal),Scheduled_Extra_Payments,IF(AND(Pay_Num&lt;&gt;"",Beg_Bal-Sched_Pay&gt;0),Beg_Bal-Sched_Pay,IF(Pay_Num&lt;&gt;"",0,"")))</f>
        <v>0</v>
      </c>
      <c r="F216" s="70">
        <f>IF(AND(Pay_Num&lt;&gt;"",Sched_Pay+Extra_Pay&lt;Beg_Bal),Sched_Pay+Extra_Pay,IF(Pay_Num&lt;&gt;"",Beg_Bal,""))</f>
        <v>0</v>
      </c>
      <c r="G216" s="70">
        <f>IF(Pay_Num&lt;&gt;"",Total_Pay-Int,"")</f>
        <v>0</v>
      </c>
      <c r="H216" s="70">
        <f>IF(Pay_Num&lt;&gt;"",Beg_Bal*Interest_Rate/Num_Pmt_Per_Year,"")</f>
        <v>0</v>
      </c>
      <c r="I216" s="70">
        <f>IF(AND(Pay_Num&lt;&gt;"",Sched_Pay+Extra_Pay&lt;Beg_Bal),Beg_Bal-Princ,IF(Pay_Num&lt;&gt;"",0,""))</f>
        <v>0</v>
      </c>
      <c r="J216" s="70">
        <f>SUM($H$18:$H216)</f>
        <v>8041.5444282238004</v>
      </c>
    </row>
    <row r="217" spans="1:10" x14ac:dyDescent="0.3">
      <c r="A217" s="36">
        <f>IF(Values_Entered,A216+1,"")</f>
        <v>200</v>
      </c>
      <c r="B217" s="35">
        <f>IF(Pay_Num&lt;&gt;"",DATE(YEAR(Loan_Start),MONTH(Loan_Start)+(Pay_Num)*12/Num_Pmt_Per_Year,DAY(Loan_Start)),"")</f>
        <v>51471</v>
      </c>
      <c r="C217" s="70">
        <f>IF(Pay_Num&lt;&gt;"",I216,"")</f>
        <v>0</v>
      </c>
      <c r="D217" s="70">
        <f>IF(Pay_Num&lt;&gt;"",Scheduled_Monthly_Payment,"")</f>
        <v>2418.3976845093252</v>
      </c>
      <c r="E217" s="71">
        <f>IF(AND(Pay_Num&lt;&gt;"",Sched_Pay+Scheduled_Extra_Payments&lt;Beg_Bal),Scheduled_Extra_Payments,IF(AND(Pay_Num&lt;&gt;"",Beg_Bal-Sched_Pay&gt;0),Beg_Bal-Sched_Pay,IF(Pay_Num&lt;&gt;"",0,"")))</f>
        <v>0</v>
      </c>
      <c r="F217" s="70">
        <f>IF(AND(Pay_Num&lt;&gt;"",Sched_Pay+Extra_Pay&lt;Beg_Bal),Sched_Pay+Extra_Pay,IF(Pay_Num&lt;&gt;"",Beg_Bal,""))</f>
        <v>0</v>
      </c>
      <c r="G217" s="70">
        <f>IF(Pay_Num&lt;&gt;"",Total_Pay-Int,"")</f>
        <v>0</v>
      </c>
      <c r="H217" s="70">
        <f>IF(Pay_Num&lt;&gt;"",Beg_Bal*Interest_Rate/Num_Pmt_Per_Year,"")</f>
        <v>0</v>
      </c>
      <c r="I217" s="70">
        <f>IF(AND(Pay_Num&lt;&gt;"",Sched_Pay+Extra_Pay&lt;Beg_Bal),Beg_Bal-Princ,IF(Pay_Num&lt;&gt;"",0,""))</f>
        <v>0</v>
      </c>
      <c r="J217" s="70">
        <f>SUM($H$18:$H217)</f>
        <v>8041.5444282238004</v>
      </c>
    </row>
    <row r="218" spans="1:10" x14ac:dyDescent="0.3">
      <c r="A218" s="36">
        <f>IF(Values_Entered,A217+1,"")</f>
        <v>201</v>
      </c>
      <c r="B218" s="35">
        <f>IF(Pay_Num&lt;&gt;"",DATE(YEAR(Loan_Start),MONTH(Loan_Start)+(Pay_Num)*12/Num_Pmt_Per_Year,DAY(Loan_Start)),"")</f>
        <v>51502</v>
      </c>
      <c r="C218" s="70">
        <f>IF(Pay_Num&lt;&gt;"",I217,"")</f>
        <v>0</v>
      </c>
      <c r="D218" s="70">
        <f>IF(Pay_Num&lt;&gt;"",Scheduled_Monthly_Payment,"")</f>
        <v>2418.3976845093252</v>
      </c>
      <c r="E218" s="71">
        <f>IF(AND(Pay_Num&lt;&gt;"",Sched_Pay+Scheduled_Extra_Payments&lt;Beg_Bal),Scheduled_Extra_Payments,IF(AND(Pay_Num&lt;&gt;"",Beg_Bal-Sched_Pay&gt;0),Beg_Bal-Sched_Pay,IF(Pay_Num&lt;&gt;"",0,"")))</f>
        <v>0</v>
      </c>
      <c r="F218" s="70">
        <f>IF(AND(Pay_Num&lt;&gt;"",Sched_Pay+Extra_Pay&lt;Beg_Bal),Sched_Pay+Extra_Pay,IF(Pay_Num&lt;&gt;"",Beg_Bal,""))</f>
        <v>0</v>
      </c>
      <c r="G218" s="70">
        <f>IF(Pay_Num&lt;&gt;"",Total_Pay-Int,"")</f>
        <v>0</v>
      </c>
      <c r="H218" s="70">
        <f>IF(Pay_Num&lt;&gt;"",Beg_Bal*Interest_Rate/Num_Pmt_Per_Year,"")</f>
        <v>0</v>
      </c>
      <c r="I218" s="70">
        <f>IF(AND(Pay_Num&lt;&gt;"",Sched_Pay+Extra_Pay&lt;Beg_Bal),Beg_Bal-Princ,IF(Pay_Num&lt;&gt;"",0,""))</f>
        <v>0</v>
      </c>
      <c r="J218" s="70">
        <f>SUM($H$18:$H218)</f>
        <v>8041.5444282238004</v>
      </c>
    </row>
    <row r="219" spans="1:10" x14ac:dyDescent="0.3">
      <c r="A219" s="36">
        <f>IF(Values_Entered,A218+1,"")</f>
        <v>202</v>
      </c>
      <c r="B219" s="35">
        <f>IF(Pay_Num&lt;&gt;"",DATE(YEAR(Loan_Start),MONTH(Loan_Start)+(Pay_Num)*12/Num_Pmt_Per_Year,DAY(Loan_Start)),"")</f>
        <v>51533</v>
      </c>
      <c r="C219" s="70">
        <f>IF(Pay_Num&lt;&gt;"",I218,"")</f>
        <v>0</v>
      </c>
      <c r="D219" s="70">
        <f>IF(Pay_Num&lt;&gt;"",Scheduled_Monthly_Payment,"")</f>
        <v>2418.3976845093252</v>
      </c>
      <c r="E219" s="71">
        <f>IF(AND(Pay_Num&lt;&gt;"",Sched_Pay+Scheduled_Extra_Payments&lt;Beg_Bal),Scheduled_Extra_Payments,IF(AND(Pay_Num&lt;&gt;"",Beg_Bal-Sched_Pay&gt;0),Beg_Bal-Sched_Pay,IF(Pay_Num&lt;&gt;"",0,"")))</f>
        <v>0</v>
      </c>
      <c r="F219" s="70">
        <f>IF(AND(Pay_Num&lt;&gt;"",Sched_Pay+Extra_Pay&lt;Beg_Bal),Sched_Pay+Extra_Pay,IF(Pay_Num&lt;&gt;"",Beg_Bal,""))</f>
        <v>0</v>
      </c>
      <c r="G219" s="70">
        <f>IF(Pay_Num&lt;&gt;"",Total_Pay-Int,"")</f>
        <v>0</v>
      </c>
      <c r="H219" s="70">
        <f>IF(Pay_Num&lt;&gt;"",Beg_Bal*Interest_Rate/Num_Pmt_Per_Year,"")</f>
        <v>0</v>
      </c>
      <c r="I219" s="70">
        <f>IF(AND(Pay_Num&lt;&gt;"",Sched_Pay+Extra_Pay&lt;Beg_Bal),Beg_Bal-Princ,IF(Pay_Num&lt;&gt;"",0,""))</f>
        <v>0</v>
      </c>
      <c r="J219" s="70">
        <f>SUM($H$18:$H219)</f>
        <v>8041.5444282238004</v>
      </c>
    </row>
    <row r="220" spans="1:10" x14ac:dyDescent="0.3">
      <c r="A220" s="36">
        <f>IF(Values_Entered,A219+1,"")</f>
        <v>203</v>
      </c>
      <c r="B220" s="35">
        <f>IF(Pay_Num&lt;&gt;"",DATE(YEAR(Loan_Start),MONTH(Loan_Start)+(Pay_Num)*12/Num_Pmt_Per_Year,DAY(Loan_Start)),"")</f>
        <v>51561</v>
      </c>
      <c r="C220" s="70">
        <f>IF(Pay_Num&lt;&gt;"",I219,"")</f>
        <v>0</v>
      </c>
      <c r="D220" s="70">
        <f>IF(Pay_Num&lt;&gt;"",Scheduled_Monthly_Payment,"")</f>
        <v>2418.3976845093252</v>
      </c>
      <c r="E220" s="71">
        <f>IF(AND(Pay_Num&lt;&gt;"",Sched_Pay+Scheduled_Extra_Payments&lt;Beg_Bal),Scheduled_Extra_Payments,IF(AND(Pay_Num&lt;&gt;"",Beg_Bal-Sched_Pay&gt;0),Beg_Bal-Sched_Pay,IF(Pay_Num&lt;&gt;"",0,"")))</f>
        <v>0</v>
      </c>
      <c r="F220" s="70">
        <f>IF(AND(Pay_Num&lt;&gt;"",Sched_Pay+Extra_Pay&lt;Beg_Bal),Sched_Pay+Extra_Pay,IF(Pay_Num&lt;&gt;"",Beg_Bal,""))</f>
        <v>0</v>
      </c>
      <c r="G220" s="70">
        <f>IF(Pay_Num&lt;&gt;"",Total_Pay-Int,"")</f>
        <v>0</v>
      </c>
      <c r="H220" s="70">
        <f>IF(Pay_Num&lt;&gt;"",Beg_Bal*Interest_Rate/Num_Pmt_Per_Year,"")</f>
        <v>0</v>
      </c>
      <c r="I220" s="70">
        <f>IF(AND(Pay_Num&lt;&gt;"",Sched_Pay+Extra_Pay&lt;Beg_Bal),Beg_Bal-Princ,IF(Pay_Num&lt;&gt;"",0,""))</f>
        <v>0</v>
      </c>
      <c r="J220" s="70">
        <f>SUM($H$18:$H220)</f>
        <v>8041.5444282238004</v>
      </c>
    </row>
    <row r="221" spans="1:10" x14ac:dyDescent="0.3">
      <c r="A221" s="36">
        <f>IF(Values_Entered,A220+1,"")</f>
        <v>204</v>
      </c>
      <c r="B221" s="35">
        <f>IF(Pay_Num&lt;&gt;"",DATE(YEAR(Loan_Start),MONTH(Loan_Start)+(Pay_Num)*12/Num_Pmt_Per_Year,DAY(Loan_Start)),"")</f>
        <v>51592</v>
      </c>
      <c r="C221" s="70">
        <f>IF(Pay_Num&lt;&gt;"",I220,"")</f>
        <v>0</v>
      </c>
      <c r="D221" s="70">
        <f>IF(Pay_Num&lt;&gt;"",Scheduled_Monthly_Payment,"")</f>
        <v>2418.3976845093252</v>
      </c>
      <c r="E221" s="71">
        <f>IF(AND(Pay_Num&lt;&gt;"",Sched_Pay+Scheduled_Extra_Payments&lt;Beg_Bal),Scheduled_Extra_Payments,IF(AND(Pay_Num&lt;&gt;"",Beg_Bal-Sched_Pay&gt;0),Beg_Bal-Sched_Pay,IF(Pay_Num&lt;&gt;"",0,"")))</f>
        <v>0</v>
      </c>
      <c r="F221" s="70">
        <f>IF(AND(Pay_Num&lt;&gt;"",Sched_Pay+Extra_Pay&lt;Beg_Bal),Sched_Pay+Extra_Pay,IF(Pay_Num&lt;&gt;"",Beg_Bal,""))</f>
        <v>0</v>
      </c>
      <c r="G221" s="70">
        <f>IF(Pay_Num&lt;&gt;"",Total_Pay-Int,"")</f>
        <v>0</v>
      </c>
      <c r="H221" s="70">
        <f>IF(Pay_Num&lt;&gt;"",Beg_Bal*Interest_Rate/Num_Pmt_Per_Year,"")</f>
        <v>0</v>
      </c>
      <c r="I221" s="70">
        <f>IF(AND(Pay_Num&lt;&gt;"",Sched_Pay+Extra_Pay&lt;Beg_Bal),Beg_Bal-Princ,IF(Pay_Num&lt;&gt;"",0,""))</f>
        <v>0</v>
      </c>
      <c r="J221" s="70">
        <f>SUM($H$18:$H221)</f>
        <v>8041.5444282238004</v>
      </c>
    </row>
    <row r="222" spans="1:10" x14ac:dyDescent="0.3">
      <c r="A222" s="36">
        <f>IF(Values_Entered,A221+1,"")</f>
        <v>205</v>
      </c>
      <c r="B222" s="35">
        <f>IF(Pay_Num&lt;&gt;"",DATE(YEAR(Loan_Start),MONTH(Loan_Start)+(Pay_Num)*12/Num_Pmt_Per_Year,DAY(Loan_Start)),"")</f>
        <v>51622</v>
      </c>
      <c r="C222" s="70">
        <f>IF(Pay_Num&lt;&gt;"",I221,"")</f>
        <v>0</v>
      </c>
      <c r="D222" s="70">
        <f>IF(Pay_Num&lt;&gt;"",Scheduled_Monthly_Payment,"")</f>
        <v>2418.3976845093252</v>
      </c>
      <c r="E222" s="71">
        <f>IF(AND(Pay_Num&lt;&gt;"",Sched_Pay+Scheduled_Extra_Payments&lt;Beg_Bal),Scheduled_Extra_Payments,IF(AND(Pay_Num&lt;&gt;"",Beg_Bal-Sched_Pay&gt;0),Beg_Bal-Sched_Pay,IF(Pay_Num&lt;&gt;"",0,"")))</f>
        <v>0</v>
      </c>
      <c r="F222" s="70">
        <f>IF(AND(Pay_Num&lt;&gt;"",Sched_Pay+Extra_Pay&lt;Beg_Bal),Sched_Pay+Extra_Pay,IF(Pay_Num&lt;&gt;"",Beg_Bal,""))</f>
        <v>0</v>
      </c>
      <c r="G222" s="70">
        <f>IF(Pay_Num&lt;&gt;"",Total_Pay-Int,"")</f>
        <v>0</v>
      </c>
      <c r="H222" s="70">
        <f>IF(Pay_Num&lt;&gt;"",Beg_Bal*Interest_Rate/Num_Pmt_Per_Year,"")</f>
        <v>0</v>
      </c>
      <c r="I222" s="70">
        <f>IF(AND(Pay_Num&lt;&gt;"",Sched_Pay+Extra_Pay&lt;Beg_Bal),Beg_Bal-Princ,IF(Pay_Num&lt;&gt;"",0,""))</f>
        <v>0</v>
      </c>
      <c r="J222" s="70">
        <f>SUM($H$18:$H222)</f>
        <v>8041.5444282238004</v>
      </c>
    </row>
    <row r="223" spans="1:10" x14ac:dyDescent="0.3">
      <c r="A223" s="36">
        <f>IF(Values_Entered,A222+1,"")</f>
        <v>206</v>
      </c>
      <c r="B223" s="35">
        <f>IF(Pay_Num&lt;&gt;"",DATE(YEAR(Loan_Start),MONTH(Loan_Start)+(Pay_Num)*12/Num_Pmt_Per_Year,DAY(Loan_Start)),"")</f>
        <v>51653</v>
      </c>
      <c r="C223" s="70">
        <f>IF(Pay_Num&lt;&gt;"",I222,"")</f>
        <v>0</v>
      </c>
      <c r="D223" s="70">
        <f>IF(Pay_Num&lt;&gt;"",Scheduled_Monthly_Payment,"")</f>
        <v>2418.3976845093252</v>
      </c>
      <c r="E223" s="71">
        <f>IF(AND(Pay_Num&lt;&gt;"",Sched_Pay+Scheduled_Extra_Payments&lt;Beg_Bal),Scheduled_Extra_Payments,IF(AND(Pay_Num&lt;&gt;"",Beg_Bal-Sched_Pay&gt;0),Beg_Bal-Sched_Pay,IF(Pay_Num&lt;&gt;"",0,"")))</f>
        <v>0</v>
      </c>
      <c r="F223" s="70">
        <f>IF(AND(Pay_Num&lt;&gt;"",Sched_Pay+Extra_Pay&lt;Beg_Bal),Sched_Pay+Extra_Pay,IF(Pay_Num&lt;&gt;"",Beg_Bal,""))</f>
        <v>0</v>
      </c>
      <c r="G223" s="70">
        <f>IF(Pay_Num&lt;&gt;"",Total_Pay-Int,"")</f>
        <v>0</v>
      </c>
      <c r="H223" s="70">
        <f>IF(Pay_Num&lt;&gt;"",Beg_Bal*Interest_Rate/Num_Pmt_Per_Year,"")</f>
        <v>0</v>
      </c>
      <c r="I223" s="70">
        <f>IF(AND(Pay_Num&lt;&gt;"",Sched_Pay+Extra_Pay&lt;Beg_Bal),Beg_Bal-Princ,IF(Pay_Num&lt;&gt;"",0,""))</f>
        <v>0</v>
      </c>
      <c r="J223" s="70">
        <f>SUM($H$18:$H223)</f>
        <v>8041.5444282238004</v>
      </c>
    </row>
    <row r="224" spans="1:10" x14ac:dyDescent="0.3">
      <c r="A224" s="36">
        <f>IF(Values_Entered,A223+1,"")</f>
        <v>207</v>
      </c>
      <c r="B224" s="35">
        <f>IF(Pay_Num&lt;&gt;"",DATE(YEAR(Loan_Start),MONTH(Loan_Start)+(Pay_Num)*12/Num_Pmt_Per_Year,DAY(Loan_Start)),"")</f>
        <v>51683</v>
      </c>
      <c r="C224" s="70">
        <f>IF(Pay_Num&lt;&gt;"",I223,"")</f>
        <v>0</v>
      </c>
      <c r="D224" s="70">
        <f>IF(Pay_Num&lt;&gt;"",Scheduled_Monthly_Payment,"")</f>
        <v>2418.3976845093252</v>
      </c>
      <c r="E224" s="71">
        <f>IF(AND(Pay_Num&lt;&gt;"",Sched_Pay+Scheduled_Extra_Payments&lt;Beg_Bal),Scheduled_Extra_Payments,IF(AND(Pay_Num&lt;&gt;"",Beg_Bal-Sched_Pay&gt;0),Beg_Bal-Sched_Pay,IF(Pay_Num&lt;&gt;"",0,"")))</f>
        <v>0</v>
      </c>
      <c r="F224" s="70">
        <f>IF(AND(Pay_Num&lt;&gt;"",Sched_Pay+Extra_Pay&lt;Beg_Bal),Sched_Pay+Extra_Pay,IF(Pay_Num&lt;&gt;"",Beg_Bal,""))</f>
        <v>0</v>
      </c>
      <c r="G224" s="70">
        <f>IF(Pay_Num&lt;&gt;"",Total_Pay-Int,"")</f>
        <v>0</v>
      </c>
      <c r="H224" s="70">
        <f>IF(Pay_Num&lt;&gt;"",Beg_Bal*Interest_Rate/Num_Pmt_Per_Year,"")</f>
        <v>0</v>
      </c>
      <c r="I224" s="70">
        <f>IF(AND(Pay_Num&lt;&gt;"",Sched_Pay+Extra_Pay&lt;Beg_Bal),Beg_Bal-Princ,IF(Pay_Num&lt;&gt;"",0,""))</f>
        <v>0</v>
      </c>
      <c r="J224" s="70">
        <f>SUM($H$18:$H224)</f>
        <v>8041.5444282238004</v>
      </c>
    </row>
    <row r="225" spans="1:10" x14ac:dyDescent="0.3">
      <c r="A225" s="36">
        <f>IF(Values_Entered,A224+1,"")</f>
        <v>208</v>
      </c>
      <c r="B225" s="35">
        <f>IF(Pay_Num&lt;&gt;"",DATE(YEAR(Loan_Start),MONTH(Loan_Start)+(Pay_Num)*12/Num_Pmt_Per_Year,DAY(Loan_Start)),"")</f>
        <v>51714</v>
      </c>
      <c r="C225" s="70">
        <f>IF(Pay_Num&lt;&gt;"",I224,"")</f>
        <v>0</v>
      </c>
      <c r="D225" s="70">
        <f>IF(Pay_Num&lt;&gt;"",Scheduled_Monthly_Payment,"")</f>
        <v>2418.3976845093252</v>
      </c>
      <c r="E225" s="71">
        <f>IF(AND(Pay_Num&lt;&gt;"",Sched_Pay+Scheduled_Extra_Payments&lt;Beg_Bal),Scheduled_Extra_Payments,IF(AND(Pay_Num&lt;&gt;"",Beg_Bal-Sched_Pay&gt;0),Beg_Bal-Sched_Pay,IF(Pay_Num&lt;&gt;"",0,"")))</f>
        <v>0</v>
      </c>
      <c r="F225" s="70">
        <f>IF(AND(Pay_Num&lt;&gt;"",Sched_Pay+Extra_Pay&lt;Beg_Bal),Sched_Pay+Extra_Pay,IF(Pay_Num&lt;&gt;"",Beg_Bal,""))</f>
        <v>0</v>
      </c>
      <c r="G225" s="70">
        <f>IF(Pay_Num&lt;&gt;"",Total_Pay-Int,"")</f>
        <v>0</v>
      </c>
      <c r="H225" s="70">
        <f>IF(Pay_Num&lt;&gt;"",Beg_Bal*Interest_Rate/Num_Pmt_Per_Year,"")</f>
        <v>0</v>
      </c>
      <c r="I225" s="70">
        <f>IF(AND(Pay_Num&lt;&gt;"",Sched_Pay+Extra_Pay&lt;Beg_Bal),Beg_Bal-Princ,IF(Pay_Num&lt;&gt;"",0,""))</f>
        <v>0</v>
      </c>
      <c r="J225" s="70">
        <f>SUM($H$18:$H225)</f>
        <v>8041.5444282238004</v>
      </c>
    </row>
    <row r="226" spans="1:10" x14ac:dyDescent="0.3">
      <c r="A226" s="36">
        <f>IF(Values_Entered,A225+1,"")</f>
        <v>209</v>
      </c>
      <c r="B226" s="35">
        <f>IF(Pay_Num&lt;&gt;"",DATE(YEAR(Loan_Start),MONTH(Loan_Start)+(Pay_Num)*12/Num_Pmt_Per_Year,DAY(Loan_Start)),"")</f>
        <v>51745</v>
      </c>
      <c r="C226" s="70">
        <f>IF(Pay_Num&lt;&gt;"",I225,"")</f>
        <v>0</v>
      </c>
      <c r="D226" s="70">
        <f>IF(Pay_Num&lt;&gt;"",Scheduled_Monthly_Payment,"")</f>
        <v>2418.3976845093252</v>
      </c>
      <c r="E226" s="71">
        <f>IF(AND(Pay_Num&lt;&gt;"",Sched_Pay+Scheduled_Extra_Payments&lt;Beg_Bal),Scheduled_Extra_Payments,IF(AND(Pay_Num&lt;&gt;"",Beg_Bal-Sched_Pay&gt;0),Beg_Bal-Sched_Pay,IF(Pay_Num&lt;&gt;"",0,"")))</f>
        <v>0</v>
      </c>
      <c r="F226" s="70">
        <f>IF(AND(Pay_Num&lt;&gt;"",Sched_Pay+Extra_Pay&lt;Beg_Bal),Sched_Pay+Extra_Pay,IF(Pay_Num&lt;&gt;"",Beg_Bal,""))</f>
        <v>0</v>
      </c>
      <c r="G226" s="70">
        <f>IF(Pay_Num&lt;&gt;"",Total_Pay-Int,"")</f>
        <v>0</v>
      </c>
      <c r="H226" s="70">
        <f>IF(Pay_Num&lt;&gt;"",Beg_Bal*Interest_Rate/Num_Pmt_Per_Year,"")</f>
        <v>0</v>
      </c>
      <c r="I226" s="70">
        <f>IF(AND(Pay_Num&lt;&gt;"",Sched_Pay+Extra_Pay&lt;Beg_Bal),Beg_Bal-Princ,IF(Pay_Num&lt;&gt;"",0,""))</f>
        <v>0</v>
      </c>
      <c r="J226" s="70">
        <f>SUM($H$18:$H226)</f>
        <v>8041.5444282238004</v>
      </c>
    </row>
    <row r="227" spans="1:10" x14ac:dyDescent="0.3">
      <c r="A227" s="36">
        <f>IF(Values_Entered,A226+1,"")</f>
        <v>210</v>
      </c>
      <c r="B227" s="35">
        <f>IF(Pay_Num&lt;&gt;"",DATE(YEAR(Loan_Start),MONTH(Loan_Start)+(Pay_Num)*12/Num_Pmt_Per_Year,DAY(Loan_Start)),"")</f>
        <v>51775</v>
      </c>
      <c r="C227" s="70">
        <f>IF(Pay_Num&lt;&gt;"",I226,"")</f>
        <v>0</v>
      </c>
      <c r="D227" s="70">
        <f>IF(Pay_Num&lt;&gt;"",Scheduled_Monthly_Payment,"")</f>
        <v>2418.3976845093252</v>
      </c>
      <c r="E227" s="71">
        <f>IF(AND(Pay_Num&lt;&gt;"",Sched_Pay+Scheduled_Extra_Payments&lt;Beg_Bal),Scheduled_Extra_Payments,IF(AND(Pay_Num&lt;&gt;"",Beg_Bal-Sched_Pay&gt;0),Beg_Bal-Sched_Pay,IF(Pay_Num&lt;&gt;"",0,"")))</f>
        <v>0</v>
      </c>
      <c r="F227" s="70">
        <f>IF(AND(Pay_Num&lt;&gt;"",Sched_Pay+Extra_Pay&lt;Beg_Bal),Sched_Pay+Extra_Pay,IF(Pay_Num&lt;&gt;"",Beg_Bal,""))</f>
        <v>0</v>
      </c>
      <c r="G227" s="70">
        <f>IF(Pay_Num&lt;&gt;"",Total_Pay-Int,"")</f>
        <v>0</v>
      </c>
      <c r="H227" s="70">
        <f>IF(Pay_Num&lt;&gt;"",Beg_Bal*Interest_Rate/Num_Pmt_Per_Year,"")</f>
        <v>0</v>
      </c>
      <c r="I227" s="70">
        <f>IF(AND(Pay_Num&lt;&gt;"",Sched_Pay+Extra_Pay&lt;Beg_Bal),Beg_Bal-Princ,IF(Pay_Num&lt;&gt;"",0,""))</f>
        <v>0</v>
      </c>
      <c r="J227" s="70">
        <f>SUM($H$18:$H227)</f>
        <v>8041.5444282238004</v>
      </c>
    </row>
    <row r="228" spans="1:10" x14ac:dyDescent="0.3">
      <c r="A228" s="36">
        <f>IF(Values_Entered,A227+1,"")</f>
        <v>211</v>
      </c>
      <c r="B228" s="35">
        <f>IF(Pay_Num&lt;&gt;"",DATE(YEAR(Loan_Start),MONTH(Loan_Start)+(Pay_Num)*12/Num_Pmt_Per_Year,DAY(Loan_Start)),"")</f>
        <v>51806</v>
      </c>
      <c r="C228" s="70">
        <f>IF(Pay_Num&lt;&gt;"",I227,"")</f>
        <v>0</v>
      </c>
      <c r="D228" s="70">
        <f>IF(Pay_Num&lt;&gt;"",Scheduled_Monthly_Payment,"")</f>
        <v>2418.3976845093252</v>
      </c>
      <c r="E228" s="71">
        <f>IF(AND(Pay_Num&lt;&gt;"",Sched_Pay+Scheduled_Extra_Payments&lt;Beg_Bal),Scheduled_Extra_Payments,IF(AND(Pay_Num&lt;&gt;"",Beg_Bal-Sched_Pay&gt;0),Beg_Bal-Sched_Pay,IF(Pay_Num&lt;&gt;"",0,"")))</f>
        <v>0</v>
      </c>
      <c r="F228" s="70">
        <f>IF(AND(Pay_Num&lt;&gt;"",Sched_Pay+Extra_Pay&lt;Beg_Bal),Sched_Pay+Extra_Pay,IF(Pay_Num&lt;&gt;"",Beg_Bal,""))</f>
        <v>0</v>
      </c>
      <c r="G228" s="70">
        <f>IF(Pay_Num&lt;&gt;"",Total_Pay-Int,"")</f>
        <v>0</v>
      </c>
      <c r="H228" s="70">
        <f>IF(Pay_Num&lt;&gt;"",Beg_Bal*Interest_Rate/Num_Pmt_Per_Year,"")</f>
        <v>0</v>
      </c>
      <c r="I228" s="70">
        <f>IF(AND(Pay_Num&lt;&gt;"",Sched_Pay+Extra_Pay&lt;Beg_Bal),Beg_Bal-Princ,IF(Pay_Num&lt;&gt;"",0,""))</f>
        <v>0</v>
      </c>
      <c r="J228" s="70">
        <f>SUM($H$18:$H228)</f>
        <v>8041.5444282238004</v>
      </c>
    </row>
    <row r="229" spans="1:10" x14ac:dyDescent="0.3">
      <c r="A229" s="36">
        <f>IF(Values_Entered,A228+1,"")</f>
        <v>212</v>
      </c>
      <c r="B229" s="35">
        <f>IF(Pay_Num&lt;&gt;"",DATE(YEAR(Loan_Start),MONTH(Loan_Start)+(Pay_Num)*12/Num_Pmt_Per_Year,DAY(Loan_Start)),"")</f>
        <v>51836</v>
      </c>
      <c r="C229" s="70">
        <f>IF(Pay_Num&lt;&gt;"",I228,"")</f>
        <v>0</v>
      </c>
      <c r="D229" s="70">
        <f>IF(Pay_Num&lt;&gt;"",Scheduled_Monthly_Payment,"")</f>
        <v>2418.3976845093252</v>
      </c>
      <c r="E229" s="71">
        <f>IF(AND(Pay_Num&lt;&gt;"",Sched_Pay+Scheduled_Extra_Payments&lt;Beg_Bal),Scheduled_Extra_Payments,IF(AND(Pay_Num&lt;&gt;"",Beg_Bal-Sched_Pay&gt;0),Beg_Bal-Sched_Pay,IF(Pay_Num&lt;&gt;"",0,"")))</f>
        <v>0</v>
      </c>
      <c r="F229" s="70">
        <f>IF(AND(Pay_Num&lt;&gt;"",Sched_Pay+Extra_Pay&lt;Beg_Bal),Sched_Pay+Extra_Pay,IF(Pay_Num&lt;&gt;"",Beg_Bal,""))</f>
        <v>0</v>
      </c>
      <c r="G229" s="70">
        <f>IF(Pay_Num&lt;&gt;"",Total_Pay-Int,"")</f>
        <v>0</v>
      </c>
      <c r="H229" s="70">
        <f>IF(Pay_Num&lt;&gt;"",Beg_Bal*Interest_Rate/Num_Pmt_Per_Year,"")</f>
        <v>0</v>
      </c>
      <c r="I229" s="70">
        <f>IF(AND(Pay_Num&lt;&gt;"",Sched_Pay+Extra_Pay&lt;Beg_Bal),Beg_Bal-Princ,IF(Pay_Num&lt;&gt;"",0,""))</f>
        <v>0</v>
      </c>
      <c r="J229" s="70">
        <f>SUM($H$18:$H229)</f>
        <v>8041.5444282238004</v>
      </c>
    </row>
    <row r="230" spans="1:10" x14ac:dyDescent="0.3">
      <c r="A230" s="36">
        <f>IF(Values_Entered,A229+1,"")</f>
        <v>213</v>
      </c>
      <c r="B230" s="35">
        <f>IF(Pay_Num&lt;&gt;"",DATE(YEAR(Loan_Start),MONTH(Loan_Start)+(Pay_Num)*12/Num_Pmt_Per_Year,DAY(Loan_Start)),"")</f>
        <v>51867</v>
      </c>
      <c r="C230" s="70">
        <f>IF(Pay_Num&lt;&gt;"",I229,"")</f>
        <v>0</v>
      </c>
      <c r="D230" s="70">
        <f>IF(Pay_Num&lt;&gt;"",Scheduled_Monthly_Payment,"")</f>
        <v>2418.3976845093252</v>
      </c>
      <c r="E230" s="71">
        <f>IF(AND(Pay_Num&lt;&gt;"",Sched_Pay+Scheduled_Extra_Payments&lt;Beg_Bal),Scheduled_Extra_Payments,IF(AND(Pay_Num&lt;&gt;"",Beg_Bal-Sched_Pay&gt;0),Beg_Bal-Sched_Pay,IF(Pay_Num&lt;&gt;"",0,"")))</f>
        <v>0</v>
      </c>
      <c r="F230" s="70">
        <f>IF(AND(Pay_Num&lt;&gt;"",Sched_Pay+Extra_Pay&lt;Beg_Bal),Sched_Pay+Extra_Pay,IF(Pay_Num&lt;&gt;"",Beg_Bal,""))</f>
        <v>0</v>
      </c>
      <c r="G230" s="70">
        <f>IF(Pay_Num&lt;&gt;"",Total_Pay-Int,"")</f>
        <v>0</v>
      </c>
      <c r="H230" s="70">
        <f>IF(Pay_Num&lt;&gt;"",Beg_Bal*Interest_Rate/Num_Pmt_Per_Year,"")</f>
        <v>0</v>
      </c>
      <c r="I230" s="70">
        <f>IF(AND(Pay_Num&lt;&gt;"",Sched_Pay+Extra_Pay&lt;Beg_Bal),Beg_Bal-Princ,IF(Pay_Num&lt;&gt;"",0,""))</f>
        <v>0</v>
      </c>
      <c r="J230" s="70">
        <f>SUM($H$18:$H230)</f>
        <v>8041.5444282238004</v>
      </c>
    </row>
    <row r="231" spans="1:10" x14ac:dyDescent="0.3">
      <c r="A231" s="36">
        <f>IF(Values_Entered,A230+1,"")</f>
        <v>214</v>
      </c>
      <c r="B231" s="35">
        <f>IF(Pay_Num&lt;&gt;"",DATE(YEAR(Loan_Start),MONTH(Loan_Start)+(Pay_Num)*12/Num_Pmt_Per_Year,DAY(Loan_Start)),"")</f>
        <v>51898</v>
      </c>
      <c r="C231" s="70">
        <f>IF(Pay_Num&lt;&gt;"",I230,"")</f>
        <v>0</v>
      </c>
      <c r="D231" s="70">
        <f>IF(Pay_Num&lt;&gt;"",Scheduled_Monthly_Payment,"")</f>
        <v>2418.3976845093252</v>
      </c>
      <c r="E231" s="71">
        <f>IF(AND(Pay_Num&lt;&gt;"",Sched_Pay+Scheduled_Extra_Payments&lt;Beg_Bal),Scheduled_Extra_Payments,IF(AND(Pay_Num&lt;&gt;"",Beg_Bal-Sched_Pay&gt;0),Beg_Bal-Sched_Pay,IF(Pay_Num&lt;&gt;"",0,"")))</f>
        <v>0</v>
      </c>
      <c r="F231" s="70">
        <f>IF(AND(Pay_Num&lt;&gt;"",Sched_Pay+Extra_Pay&lt;Beg_Bal),Sched_Pay+Extra_Pay,IF(Pay_Num&lt;&gt;"",Beg_Bal,""))</f>
        <v>0</v>
      </c>
      <c r="G231" s="70">
        <f>IF(Pay_Num&lt;&gt;"",Total_Pay-Int,"")</f>
        <v>0</v>
      </c>
      <c r="H231" s="70">
        <f>IF(Pay_Num&lt;&gt;"",Beg_Bal*Interest_Rate/Num_Pmt_Per_Year,"")</f>
        <v>0</v>
      </c>
      <c r="I231" s="70">
        <f>IF(AND(Pay_Num&lt;&gt;"",Sched_Pay+Extra_Pay&lt;Beg_Bal),Beg_Bal-Princ,IF(Pay_Num&lt;&gt;"",0,""))</f>
        <v>0</v>
      </c>
      <c r="J231" s="70">
        <f>SUM($H$18:$H231)</f>
        <v>8041.5444282238004</v>
      </c>
    </row>
    <row r="232" spans="1:10" x14ac:dyDescent="0.3">
      <c r="A232" s="36">
        <f>IF(Values_Entered,A231+1,"")</f>
        <v>215</v>
      </c>
      <c r="B232" s="35">
        <f>IF(Pay_Num&lt;&gt;"",DATE(YEAR(Loan_Start),MONTH(Loan_Start)+(Pay_Num)*12/Num_Pmt_Per_Year,DAY(Loan_Start)),"")</f>
        <v>51926</v>
      </c>
      <c r="C232" s="70">
        <f>IF(Pay_Num&lt;&gt;"",I231,"")</f>
        <v>0</v>
      </c>
      <c r="D232" s="70">
        <f>IF(Pay_Num&lt;&gt;"",Scheduled_Monthly_Payment,"")</f>
        <v>2418.3976845093252</v>
      </c>
      <c r="E232" s="71">
        <f>IF(AND(Pay_Num&lt;&gt;"",Sched_Pay+Scheduled_Extra_Payments&lt;Beg_Bal),Scheduled_Extra_Payments,IF(AND(Pay_Num&lt;&gt;"",Beg_Bal-Sched_Pay&gt;0),Beg_Bal-Sched_Pay,IF(Pay_Num&lt;&gt;"",0,"")))</f>
        <v>0</v>
      </c>
      <c r="F232" s="70">
        <f>IF(AND(Pay_Num&lt;&gt;"",Sched_Pay+Extra_Pay&lt;Beg_Bal),Sched_Pay+Extra_Pay,IF(Pay_Num&lt;&gt;"",Beg_Bal,""))</f>
        <v>0</v>
      </c>
      <c r="G232" s="70">
        <f>IF(Pay_Num&lt;&gt;"",Total_Pay-Int,"")</f>
        <v>0</v>
      </c>
      <c r="H232" s="70">
        <f>IF(Pay_Num&lt;&gt;"",Beg_Bal*Interest_Rate/Num_Pmt_Per_Year,"")</f>
        <v>0</v>
      </c>
      <c r="I232" s="70">
        <f>IF(AND(Pay_Num&lt;&gt;"",Sched_Pay+Extra_Pay&lt;Beg_Bal),Beg_Bal-Princ,IF(Pay_Num&lt;&gt;"",0,""))</f>
        <v>0</v>
      </c>
      <c r="J232" s="70">
        <f>SUM($H$18:$H232)</f>
        <v>8041.5444282238004</v>
      </c>
    </row>
    <row r="233" spans="1:10" x14ac:dyDescent="0.3">
      <c r="A233" s="36">
        <f>IF(Values_Entered,A232+1,"")</f>
        <v>216</v>
      </c>
      <c r="B233" s="35">
        <f>IF(Pay_Num&lt;&gt;"",DATE(YEAR(Loan_Start),MONTH(Loan_Start)+(Pay_Num)*12/Num_Pmt_Per_Year,DAY(Loan_Start)),"")</f>
        <v>51957</v>
      </c>
      <c r="C233" s="70">
        <f>IF(Pay_Num&lt;&gt;"",I232,"")</f>
        <v>0</v>
      </c>
      <c r="D233" s="70">
        <f>IF(Pay_Num&lt;&gt;"",Scheduled_Monthly_Payment,"")</f>
        <v>2418.3976845093252</v>
      </c>
      <c r="E233" s="71">
        <f>IF(AND(Pay_Num&lt;&gt;"",Sched_Pay+Scheduled_Extra_Payments&lt;Beg_Bal),Scheduled_Extra_Payments,IF(AND(Pay_Num&lt;&gt;"",Beg_Bal-Sched_Pay&gt;0),Beg_Bal-Sched_Pay,IF(Pay_Num&lt;&gt;"",0,"")))</f>
        <v>0</v>
      </c>
      <c r="F233" s="70">
        <f>IF(AND(Pay_Num&lt;&gt;"",Sched_Pay+Extra_Pay&lt;Beg_Bal),Sched_Pay+Extra_Pay,IF(Pay_Num&lt;&gt;"",Beg_Bal,""))</f>
        <v>0</v>
      </c>
      <c r="G233" s="70">
        <f>IF(Pay_Num&lt;&gt;"",Total_Pay-Int,"")</f>
        <v>0</v>
      </c>
      <c r="H233" s="70">
        <f>IF(Pay_Num&lt;&gt;"",Beg_Bal*Interest_Rate/Num_Pmt_Per_Year,"")</f>
        <v>0</v>
      </c>
      <c r="I233" s="70">
        <f>IF(AND(Pay_Num&lt;&gt;"",Sched_Pay+Extra_Pay&lt;Beg_Bal),Beg_Bal-Princ,IF(Pay_Num&lt;&gt;"",0,""))</f>
        <v>0</v>
      </c>
      <c r="J233" s="70">
        <f>SUM($H$18:$H233)</f>
        <v>8041.5444282238004</v>
      </c>
    </row>
    <row r="234" spans="1:10" x14ac:dyDescent="0.3">
      <c r="A234" s="36">
        <f>IF(Values_Entered,A233+1,"")</f>
        <v>217</v>
      </c>
      <c r="B234" s="35">
        <f>IF(Pay_Num&lt;&gt;"",DATE(YEAR(Loan_Start),MONTH(Loan_Start)+(Pay_Num)*12/Num_Pmt_Per_Year,DAY(Loan_Start)),"")</f>
        <v>51987</v>
      </c>
      <c r="C234" s="70">
        <f>IF(Pay_Num&lt;&gt;"",I233,"")</f>
        <v>0</v>
      </c>
      <c r="D234" s="70">
        <f>IF(Pay_Num&lt;&gt;"",Scheduled_Monthly_Payment,"")</f>
        <v>2418.3976845093252</v>
      </c>
      <c r="E234" s="71">
        <f>IF(AND(Pay_Num&lt;&gt;"",Sched_Pay+Scheduled_Extra_Payments&lt;Beg_Bal),Scheduled_Extra_Payments,IF(AND(Pay_Num&lt;&gt;"",Beg_Bal-Sched_Pay&gt;0),Beg_Bal-Sched_Pay,IF(Pay_Num&lt;&gt;"",0,"")))</f>
        <v>0</v>
      </c>
      <c r="F234" s="70">
        <f>IF(AND(Pay_Num&lt;&gt;"",Sched_Pay+Extra_Pay&lt;Beg_Bal),Sched_Pay+Extra_Pay,IF(Pay_Num&lt;&gt;"",Beg_Bal,""))</f>
        <v>0</v>
      </c>
      <c r="G234" s="70">
        <f>IF(Pay_Num&lt;&gt;"",Total_Pay-Int,"")</f>
        <v>0</v>
      </c>
      <c r="H234" s="70">
        <f>IF(Pay_Num&lt;&gt;"",Beg_Bal*Interest_Rate/Num_Pmt_Per_Year,"")</f>
        <v>0</v>
      </c>
      <c r="I234" s="70">
        <f>IF(AND(Pay_Num&lt;&gt;"",Sched_Pay+Extra_Pay&lt;Beg_Bal),Beg_Bal-Princ,IF(Pay_Num&lt;&gt;"",0,""))</f>
        <v>0</v>
      </c>
      <c r="J234" s="70">
        <f>SUM($H$18:$H234)</f>
        <v>8041.5444282238004</v>
      </c>
    </row>
    <row r="235" spans="1:10" x14ac:dyDescent="0.3">
      <c r="A235" s="36">
        <f>IF(Values_Entered,A234+1,"")</f>
        <v>218</v>
      </c>
      <c r="B235" s="35">
        <f>IF(Pay_Num&lt;&gt;"",DATE(YEAR(Loan_Start),MONTH(Loan_Start)+(Pay_Num)*12/Num_Pmt_Per_Year,DAY(Loan_Start)),"")</f>
        <v>52018</v>
      </c>
      <c r="C235" s="70">
        <f>IF(Pay_Num&lt;&gt;"",I234,"")</f>
        <v>0</v>
      </c>
      <c r="D235" s="70">
        <f>IF(Pay_Num&lt;&gt;"",Scheduled_Monthly_Payment,"")</f>
        <v>2418.3976845093252</v>
      </c>
      <c r="E235" s="71">
        <f>IF(AND(Pay_Num&lt;&gt;"",Sched_Pay+Scheduled_Extra_Payments&lt;Beg_Bal),Scheduled_Extra_Payments,IF(AND(Pay_Num&lt;&gt;"",Beg_Bal-Sched_Pay&gt;0),Beg_Bal-Sched_Pay,IF(Pay_Num&lt;&gt;"",0,"")))</f>
        <v>0</v>
      </c>
      <c r="F235" s="70">
        <f>IF(AND(Pay_Num&lt;&gt;"",Sched_Pay+Extra_Pay&lt;Beg_Bal),Sched_Pay+Extra_Pay,IF(Pay_Num&lt;&gt;"",Beg_Bal,""))</f>
        <v>0</v>
      </c>
      <c r="G235" s="70">
        <f>IF(Pay_Num&lt;&gt;"",Total_Pay-Int,"")</f>
        <v>0</v>
      </c>
      <c r="H235" s="70">
        <f>IF(Pay_Num&lt;&gt;"",Beg_Bal*Interest_Rate/Num_Pmt_Per_Year,"")</f>
        <v>0</v>
      </c>
      <c r="I235" s="70">
        <f>IF(AND(Pay_Num&lt;&gt;"",Sched_Pay+Extra_Pay&lt;Beg_Bal),Beg_Bal-Princ,IF(Pay_Num&lt;&gt;"",0,""))</f>
        <v>0</v>
      </c>
      <c r="J235" s="70">
        <f>SUM($H$18:$H235)</f>
        <v>8041.5444282238004</v>
      </c>
    </row>
    <row r="236" spans="1:10" x14ac:dyDescent="0.3">
      <c r="A236" s="36">
        <f>IF(Values_Entered,A235+1,"")</f>
        <v>219</v>
      </c>
      <c r="B236" s="35">
        <f>IF(Pay_Num&lt;&gt;"",DATE(YEAR(Loan_Start),MONTH(Loan_Start)+(Pay_Num)*12/Num_Pmt_Per_Year,DAY(Loan_Start)),"")</f>
        <v>52048</v>
      </c>
      <c r="C236" s="70">
        <f>IF(Pay_Num&lt;&gt;"",I235,"")</f>
        <v>0</v>
      </c>
      <c r="D236" s="70">
        <f>IF(Pay_Num&lt;&gt;"",Scheduled_Monthly_Payment,"")</f>
        <v>2418.3976845093252</v>
      </c>
      <c r="E236" s="71">
        <f>IF(AND(Pay_Num&lt;&gt;"",Sched_Pay+Scheduled_Extra_Payments&lt;Beg_Bal),Scheduled_Extra_Payments,IF(AND(Pay_Num&lt;&gt;"",Beg_Bal-Sched_Pay&gt;0),Beg_Bal-Sched_Pay,IF(Pay_Num&lt;&gt;"",0,"")))</f>
        <v>0</v>
      </c>
      <c r="F236" s="70">
        <f>IF(AND(Pay_Num&lt;&gt;"",Sched_Pay+Extra_Pay&lt;Beg_Bal),Sched_Pay+Extra_Pay,IF(Pay_Num&lt;&gt;"",Beg_Bal,""))</f>
        <v>0</v>
      </c>
      <c r="G236" s="70">
        <f>IF(Pay_Num&lt;&gt;"",Total_Pay-Int,"")</f>
        <v>0</v>
      </c>
      <c r="H236" s="70">
        <f>IF(Pay_Num&lt;&gt;"",Beg_Bal*Interest_Rate/Num_Pmt_Per_Year,"")</f>
        <v>0</v>
      </c>
      <c r="I236" s="70">
        <f>IF(AND(Pay_Num&lt;&gt;"",Sched_Pay+Extra_Pay&lt;Beg_Bal),Beg_Bal-Princ,IF(Pay_Num&lt;&gt;"",0,""))</f>
        <v>0</v>
      </c>
      <c r="J236" s="70">
        <f>SUM($H$18:$H236)</f>
        <v>8041.5444282238004</v>
      </c>
    </row>
    <row r="237" spans="1:10" x14ac:dyDescent="0.3">
      <c r="A237" s="36">
        <f>IF(Values_Entered,A236+1,"")</f>
        <v>220</v>
      </c>
      <c r="B237" s="35">
        <f>IF(Pay_Num&lt;&gt;"",DATE(YEAR(Loan_Start),MONTH(Loan_Start)+(Pay_Num)*12/Num_Pmt_Per_Year,DAY(Loan_Start)),"")</f>
        <v>52079</v>
      </c>
      <c r="C237" s="70">
        <f>IF(Pay_Num&lt;&gt;"",I236,"")</f>
        <v>0</v>
      </c>
      <c r="D237" s="70">
        <f>IF(Pay_Num&lt;&gt;"",Scheduled_Monthly_Payment,"")</f>
        <v>2418.3976845093252</v>
      </c>
      <c r="E237" s="71">
        <f>IF(AND(Pay_Num&lt;&gt;"",Sched_Pay+Scheduled_Extra_Payments&lt;Beg_Bal),Scheduled_Extra_Payments,IF(AND(Pay_Num&lt;&gt;"",Beg_Bal-Sched_Pay&gt;0),Beg_Bal-Sched_Pay,IF(Pay_Num&lt;&gt;"",0,"")))</f>
        <v>0</v>
      </c>
      <c r="F237" s="70">
        <f>IF(AND(Pay_Num&lt;&gt;"",Sched_Pay+Extra_Pay&lt;Beg_Bal),Sched_Pay+Extra_Pay,IF(Pay_Num&lt;&gt;"",Beg_Bal,""))</f>
        <v>0</v>
      </c>
      <c r="G237" s="70">
        <f>IF(Pay_Num&lt;&gt;"",Total_Pay-Int,"")</f>
        <v>0</v>
      </c>
      <c r="H237" s="70">
        <f>IF(Pay_Num&lt;&gt;"",Beg_Bal*Interest_Rate/Num_Pmt_Per_Year,"")</f>
        <v>0</v>
      </c>
      <c r="I237" s="70">
        <f>IF(AND(Pay_Num&lt;&gt;"",Sched_Pay+Extra_Pay&lt;Beg_Bal),Beg_Bal-Princ,IF(Pay_Num&lt;&gt;"",0,""))</f>
        <v>0</v>
      </c>
      <c r="J237" s="70">
        <f>SUM($H$18:$H237)</f>
        <v>8041.5444282238004</v>
      </c>
    </row>
    <row r="238" spans="1:10" x14ac:dyDescent="0.3">
      <c r="A238" s="36">
        <f>IF(Values_Entered,A237+1,"")</f>
        <v>221</v>
      </c>
      <c r="B238" s="35">
        <f>IF(Pay_Num&lt;&gt;"",DATE(YEAR(Loan_Start),MONTH(Loan_Start)+(Pay_Num)*12/Num_Pmt_Per_Year,DAY(Loan_Start)),"")</f>
        <v>52110</v>
      </c>
      <c r="C238" s="70">
        <f>IF(Pay_Num&lt;&gt;"",I237,"")</f>
        <v>0</v>
      </c>
      <c r="D238" s="70">
        <f>IF(Pay_Num&lt;&gt;"",Scheduled_Monthly_Payment,"")</f>
        <v>2418.3976845093252</v>
      </c>
      <c r="E238" s="71">
        <f>IF(AND(Pay_Num&lt;&gt;"",Sched_Pay+Scheduled_Extra_Payments&lt;Beg_Bal),Scheduled_Extra_Payments,IF(AND(Pay_Num&lt;&gt;"",Beg_Bal-Sched_Pay&gt;0),Beg_Bal-Sched_Pay,IF(Pay_Num&lt;&gt;"",0,"")))</f>
        <v>0</v>
      </c>
      <c r="F238" s="70">
        <f>IF(AND(Pay_Num&lt;&gt;"",Sched_Pay+Extra_Pay&lt;Beg_Bal),Sched_Pay+Extra_Pay,IF(Pay_Num&lt;&gt;"",Beg_Bal,""))</f>
        <v>0</v>
      </c>
      <c r="G238" s="70">
        <f>IF(Pay_Num&lt;&gt;"",Total_Pay-Int,"")</f>
        <v>0</v>
      </c>
      <c r="H238" s="70">
        <f>IF(Pay_Num&lt;&gt;"",Beg_Bal*Interest_Rate/Num_Pmt_Per_Year,"")</f>
        <v>0</v>
      </c>
      <c r="I238" s="70">
        <f>IF(AND(Pay_Num&lt;&gt;"",Sched_Pay+Extra_Pay&lt;Beg_Bal),Beg_Bal-Princ,IF(Pay_Num&lt;&gt;"",0,""))</f>
        <v>0</v>
      </c>
      <c r="J238" s="70">
        <f>SUM($H$18:$H238)</f>
        <v>8041.5444282238004</v>
      </c>
    </row>
    <row r="239" spans="1:10" x14ac:dyDescent="0.3">
      <c r="A239" s="36">
        <f>IF(Values_Entered,A238+1,"")</f>
        <v>222</v>
      </c>
      <c r="B239" s="35">
        <f>IF(Pay_Num&lt;&gt;"",DATE(YEAR(Loan_Start),MONTH(Loan_Start)+(Pay_Num)*12/Num_Pmt_Per_Year,DAY(Loan_Start)),"")</f>
        <v>52140</v>
      </c>
      <c r="C239" s="70">
        <f>IF(Pay_Num&lt;&gt;"",I238,"")</f>
        <v>0</v>
      </c>
      <c r="D239" s="70">
        <f>IF(Pay_Num&lt;&gt;"",Scheduled_Monthly_Payment,"")</f>
        <v>2418.3976845093252</v>
      </c>
      <c r="E239" s="71">
        <f>IF(AND(Pay_Num&lt;&gt;"",Sched_Pay+Scheduled_Extra_Payments&lt;Beg_Bal),Scheduled_Extra_Payments,IF(AND(Pay_Num&lt;&gt;"",Beg_Bal-Sched_Pay&gt;0),Beg_Bal-Sched_Pay,IF(Pay_Num&lt;&gt;"",0,"")))</f>
        <v>0</v>
      </c>
      <c r="F239" s="70">
        <f>IF(AND(Pay_Num&lt;&gt;"",Sched_Pay+Extra_Pay&lt;Beg_Bal),Sched_Pay+Extra_Pay,IF(Pay_Num&lt;&gt;"",Beg_Bal,""))</f>
        <v>0</v>
      </c>
      <c r="G239" s="70">
        <f>IF(Pay_Num&lt;&gt;"",Total_Pay-Int,"")</f>
        <v>0</v>
      </c>
      <c r="H239" s="70">
        <f>IF(Pay_Num&lt;&gt;"",Beg_Bal*Interest_Rate/Num_Pmt_Per_Year,"")</f>
        <v>0</v>
      </c>
      <c r="I239" s="70">
        <f>IF(AND(Pay_Num&lt;&gt;"",Sched_Pay+Extra_Pay&lt;Beg_Bal),Beg_Bal-Princ,IF(Pay_Num&lt;&gt;"",0,""))</f>
        <v>0</v>
      </c>
      <c r="J239" s="70">
        <f>SUM($H$18:$H239)</f>
        <v>8041.5444282238004</v>
      </c>
    </row>
    <row r="240" spans="1:10" x14ac:dyDescent="0.3">
      <c r="A240" s="36">
        <f>IF(Values_Entered,A239+1,"")</f>
        <v>223</v>
      </c>
      <c r="B240" s="35">
        <f>IF(Pay_Num&lt;&gt;"",DATE(YEAR(Loan_Start),MONTH(Loan_Start)+(Pay_Num)*12/Num_Pmt_Per_Year,DAY(Loan_Start)),"")</f>
        <v>52171</v>
      </c>
      <c r="C240" s="70">
        <f>IF(Pay_Num&lt;&gt;"",I239,"")</f>
        <v>0</v>
      </c>
      <c r="D240" s="70">
        <f>IF(Pay_Num&lt;&gt;"",Scheduled_Monthly_Payment,"")</f>
        <v>2418.3976845093252</v>
      </c>
      <c r="E240" s="71">
        <f>IF(AND(Pay_Num&lt;&gt;"",Sched_Pay+Scheduled_Extra_Payments&lt;Beg_Bal),Scheduled_Extra_Payments,IF(AND(Pay_Num&lt;&gt;"",Beg_Bal-Sched_Pay&gt;0),Beg_Bal-Sched_Pay,IF(Pay_Num&lt;&gt;"",0,"")))</f>
        <v>0</v>
      </c>
      <c r="F240" s="70">
        <f>IF(AND(Pay_Num&lt;&gt;"",Sched_Pay+Extra_Pay&lt;Beg_Bal),Sched_Pay+Extra_Pay,IF(Pay_Num&lt;&gt;"",Beg_Bal,""))</f>
        <v>0</v>
      </c>
      <c r="G240" s="70">
        <f>IF(Pay_Num&lt;&gt;"",Total_Pay-Int,"")</f>
        <v>0</v>
      </c>
      <c r="H240" s="70">
        <f>IF(Pay_Num&lt;&gt;"",Beg_Bal*Interest_Rate/Num_Pmt_Per_Year,"")</f>
        <v>0</v>
      </c>
      <c r="I240" s="70">
        <f>IF(AND(Pay_Num&lt;&gt;"",Sched_Pay+Extra_Pay&lt;Beg_Bal),Beg_Bal-Princ,IF(Pay_Num&lt;&gt;"",0,""))</f>
        <v>0</v>
      </c>
      <c r="J240" s="70">
        <f>SUM($H$18:$H240)</f>
        <v>8041.5444282238004</v>
      </c>
    </row>
    <row r="241" spans="1:10" x14ac:dyDescent="0.3">
      <c r="A241" s="36">
        <f>IF(Values_Entered,A240+1,"")</f>
        <v>224</v>
      </c>
      <c r="B241" s="35">
        <f>IF(Pay_Num&lt;&gt;"",DATE(YEAR(Loan_Start),MONTH(Loan_Start)+(Pay_Num)*12/Num_Pmt_Per_Year,DAY(Loan_Start)),"")</f>
        <v>52201</v>
      </c>
      <c r="C241" s="70">
        <f>IF(Pay_Num&lt;&gt;"",I240,"")</f>
        <v>0</v>
      </c>
      <c r="D241" s="70">
        <f>IF(Pay_Num&lt;&gt;"",Scheduled_Monthly_Payment,"")</f>
        <v>2418.3976845093252</v>
      </c>
      <c r="E241" s="71">
        <f>IF(AND(Pay_Num&lt;&gt;"",Sched_Pay+Scheduled_Extra_Payments&lt;Beg_Bal),Scheduled_Extra_Payments,IF(AND(Pay_Num&lt;&gt;"",Beg_Bal-Sched_Pay&gt;0),Beg_Bal-Sched_Pay,IF(Pay_Num&lt;&gt;"",0,"")))</f>
        <v>0</v>
      </c>
      <c r="F241" s="70">
        <f>IF(AND(Pay_Num&lt;&gt;"",Sched_Pay+Extra_Pay&lt;Beg_Bal),Sched_Pay+Extra_Pay,IF(Pay_Num&lt;&gt;"",Beg_Bal,""))</f>
        <v>0</v>
      </c>
      <c r="G241" s="70">
        <f>IF(Pay_Num&lt;&gt;"",Total_Pay-Int,"")</f>
        <v>0</v>
      </c>
      <c r="H241" s="70">
        <f>IF(Pay_Num&lt;&gt;"",Beg_Bal*Interest_Rate/Num_Pmt_Per_Year,"")</f>
        <v>0</v>
      </c>
      <c r="I241" s="70">
        <f>IF(AND(Pay_Num&lt;&gt;"",Sched_Pay+Extra_Pay&lt;Beg_Bal),Beg_Bal-Princ,IF(Pay_Num&lt;&gt;"",0,""))</f>
        <v>0</v>
      </c>
      <c r="J241" s="70">
        <f>SUM($H$18:$H241)</f>
        <v>8041.5444282238004</v>
      </c>
    </row>
    <row r="242" spans="1:10" x14ac:dyDescent="0.3">
      <c r="A242" s="36">
        <f>IF(Values_Entered,A241+1,"")</f>
        <v>225</v>
      </c>
      <c r="B242" s="35">
        <f>IF(Pay_Num&lt;&gt;"",DATE(YEAR(Loan_Start),MONTH(Loan_Start)+(Pay_Num)*12/Num_Pmt_Per_Year,DAY(Loan_Start)),"")</f>
        <v>52232</v>
      </c>
      <c r="C242" s="70">
        <f>IF(Pay_Num&lt;&gt;"",I241,"")</f>
        <v>0</v>
      </c>
      <c r="D242" s="70">
        <f>IF(Pay_Num&lt;&gt;"",Scheduled_Monthly_Payment,"")</f>
        <v>2418.3976845093252</v>
      </c>
      <c r="E242" s="71">
        <f>IF(AND(Pay_Num&lt;&gt;"",Sched_Pay+Scheduled_Extra_Payments&lt;Beg_Bal),Scheduled_Extra_Payments,IF(AND(Pay_Num&lt;&gt;"",Beg_Bal-Sched_Pay&gt;0),Beg_Bal-Sched_Pay,IF(Pay_Num&lt;&gt;"",0,"")))</f>
        <v>0</v>
      </c>
      <c r="F242" s="70">
        <f>IF(AND(Pay_Num&lt;&gt;"",Sched_Pay+Extra_Pay&lt;Beg_Bal),Sched_Pay+Extra_Pay,IF(Pay_Num&lt;&gt;"",Beg_Bal,""))</f>
        <v>0</v>
      </c>
      <c r="G242" s="70">
        <f>IF(Pay_Num&lt;&gt;"",Total_Pay-Int,"")</f>
        <v>0</v>
      </c>
      <c r="H242" s="70">
        <f>IF(Pay_Num&lt;&gt;"",Beg_Bal*Interest_Rate/Num_Pmt_Per_Year,"")</f>
        <v>0</v>
      </c>
      <c r="I242" s="70">
        <f>IF(AND(Pay_Num&lt;&gt;"",Sched_Pay+Extra_Pay&lt;Beg_Bal),Beg_Bal-Princ,IF(Pay_Num&lt;&gt;"",0,""))</f>
        <v>0</v>
      </c>
      <c r="J242" s="70">
        <f>SUM($H$18:$H242)</f>
        <v>8041.5444282238004</v>
      </c>
    </row>
    <row r="243" spans="1:10" x14ac:dyDescent="0.3">
      <c r="A243" s="36">
        <f>IF(Values_Entered,A242+1,"")</f>
        <v>226</v>
      </c>
      <c r="B243" s="35">
        <f>IF(Pay_Num&lt;&gt;"",DATE(YEAR(Loan_Start),MONTH(Loan_Start)+(Pay_Num)*12/Num_Pmt_Per_Year,DAY(Loan_Start)),"")</f>
        <v>52263</v>
      </c>
      <c r="C243" s="70">
        <f>IF(Pay_Num&lt;&gt;"",I242,"")</f>
        <v>0</v>
      </c>
      <c r="D243" s="70">
        <f>IF(Pay_Num&lt;&gt;"",Scheduled_Monthly_Payment,"")</f>
        <v>2418.3976845093252</v>
      </c>
      <c r="E243" s="71">
        <f>IF(AND(Pay_Num&lt;&gt;"",Sched_Pay+Scheduled_Extra_Payments&lt;Beg_Bal),Scheduled_Extra_Payments,IF(AND(Pay_Num&lt;&gt;"",Beg_Bal-Sched_Pay&gt;0),Beg_Bal-Sched_Pay,IF(Pay_Num&lt;&gt;"",0,"")))</f>
        <v>0</v>
      </c>
      <c r="F243" s="70">
        <f>IF(AND(Pay_Num&lt;&gt;"",Sched_Pay+Extra_Pay&lt;Beg_Bal),Sched_Pay+Extra_Pay,IF(Pay_Num&lt;&gt;"",Beg_Bal,""))</f>
        <v>0</v>
      </c>
      <c r="G243" s="70">
        <f>IF(Pay_Num&lt;&gt;"",Total_Pay-Int,"")</f>
        <v>0</v>
      </c>
      <c r="H243" s="70">
        <f>IF(Pay_Num&lt;&gt;"",Beg_Bal*Interest_Rate/Num_Pmt_Per_Year,"")</f>
        <v>0</v>
      </c>
      <c r="I243" s="70">
        <f>IF(AND(Pay_Num&lt;&gt;"",Sched_Pay+Extra_Pay&lt;Beg_Bal),Beg_Bal-Princ,IF(Pay_Num&lt;&gt;"",0,""))</f>
        <v>0</v>
      </c>
      <c r="J243" s="70">
        <f>SUM($H$18:$H243)</f>
        <v>8041.5444282238004</v>
      </c>
    </row>
    <row r="244" spans="1:10" x14ac:dyDescent="0.3">
      <c r="A244" s="36">
        <f>IF(Values_Entered,A243+1,"")</f>
        <v>227</v>
      </c>
      <c r="B244" s="35">
        <f>IF(Pay_Num&lt;&gt;"",DATE(YEAR(Loan_Start),MONTH(Loan_Start)+(Pay_Num)*12/Num_Pmt_Per_Year,DAY(Loan_Start)),"")</f>
        <v>52291</v>
      </c>
      <c r="C244" s="70">
        <f>IF(Pay_Num&lt;&gt;"",I243,"")</f>
        <v>0</v>
      </c>
      <c r="D244" s="70">
        <f>IF(Pay_Num&lt;&gt;"",Scheduled_Monthly_Payment,"")</f>
        <v>2418.3976845093252</v>
      </c>
      <c r="E244" s="71">
        <f>IF(AND(Pay_Num&lt;&gt;"",Sched_Pay+Scheduled_Extra_Payments&lt;Beg_Bal),Scheduled_Extra_Payments,IF(AND(Pay_Num&lt;&gt;"",Beg_Bal-Sched_Pay&gt;0),Beg_Bal-Sched_Pay,IF(Pay_Num&lt;&gt;"",0,"")))</f>
        <v>0</v>
      </c>
      <c r="F244" s="70">
        <f>IF(AND(Pay_Num&lt;&gt;"",Sched_Pay+Extra_Pay&lt;Beg_Bal),Sched_Pay+Extra_Pay,IF(Pay_Num&lt;&gt;"",Beg_Bal,""))</f>
        <v>0</v>
      </c>
      <c r="G244" s="70">
        <f>IF(Pay_Num&lt;&gt;"",Total_Pay-Int,"")</f>
        <v>0</v>
      </c>
      <c r="H244" s="70">
        <f>IF(Pay_Num&lt;&gt;"",Beg_Bal*Interest_Rate/Num_Pmt_Per_Year,"")</f>
        <v>0</v>
      </c>
      <c r="I244" s="70">
        <f>IF(AND(Pay_Num&lt;&gt;"",Sched_Pay+Extra_Pay&lt;Beg_Bal),Beg_Bal-Princ,IF(Pay_Num&lt;&gt;"",0,""))</f>
        <v>0</v>
      </c>
      <c r="J244" s="70">
        <f>SUM($H$18:$H244)</f>
        <v>8041.5444282238004</v>
      </c>
    </row>
    <row r="245" spans="1:10" x14ac:dyDescent="0.3">
      <c r="A245" s="36">
        <f>IF(Values_Entered,A244+1,"")</f>
        <v>228</v>
      </c>
      <c r="B245" s="35">
        <f>IF(Pay_Num&lt;&gt;"",DATE(YEAR(Loan_Start),MONTH(Loan_Start)+(Pay_Num)*12/Num_Pmt_Per_Year,DAY(Loan_Start)),"")</f>
        <v>52322</v>
      </c>
      <c r="C245" s="70">
        <f>IF(Pay_Num&lt;&gt;"",I244,"")</f>
        <v>0</v>
      </c>
      <c r="D245" s="70">
        <f>IF(Pay_Num&lt;&gt;"",Scheduled_Monthly_Payment,"")</f>
        <v>2418.3976845093252</v>
      </c>
      <c r="E245" s="71">
        <f>IF(AND(Pay_Num&lt;&gt;"",Sched_Pay+Scheduled_Extra_Payments&lt;Beg_Bal),Scheduled_Extra_Payments,IF(AND(Pay_Num&lt;&gt;"",Beg_Bal-Sched_Pay&gt;0),Beg_Bal-Sched_Pay,IF(Pay_Num&lt;&gt;"",0,"")))</f>
        <v>0</v>
      </c>
      <c r="F245" s="70">
        <f>IF(AND(Pay_Num&lt;&gt;"",Sched_Pay+Extra_Pay&lt;Beg_Bal),Sched_Pay+Extra_Pay,IF(Pay_Num&lt;&gt;"",Beg_Bal,""))</f>
        <v>0</v>
      </c>
      <c r="G245" s="70">
        <f>IF(Pay_Num&lt;&gt;"",Total_Pay-Int,"")</f>
        <v>0</v>
      </c>
      <c r="H245" s="70">
        <f>IF(Pay_Num&lt;&gt;"",Beg_Bal*Interest_Rate/Num_Pmt_Per_Year,"")</f>
        <v>0</v>
      </c>
      <c r="I245" s="70">
        <f>IF(AND(Pay_Num&lt;&gt;"",Sched_Pay+Extra_Pay&lt;Beg_Bal),Beg_Bal-Princ,IF(Pay_Num&lt;&gt;"",0,""))</f>
        <v>0</v>
      </c>
      <c r="J245" s="70">
        <f>SUM($H$18:$H245)</f>
        <v>8041.5444282238004</v>
      </c>
    </row>
    <row r="246" spans="1:10" x14ac:dyDescent="0.3">
      <c r="A246" s="36">
        <f>IF(Values_Entered,A245+1,"")</f>
        <v>229</v>
      </c>
      <c r="B246" s="35">
        <f>IF(Pay_Num&lt;&gt;"",DATE(YEAR(Loan_Start),MONTH(Loan_Start)+(Pay_Num)*12/Num_Pmt_Per_Year,DAY(Loan_Start)),"")</f>
        <v>52352</v>
      </c>
      <c r="C246" s="70">
        <f>IF(Pay_Num&lt;&gt;"",I245,"")</f>
        <v>0</v>
      </c>
      <c r="D246" s="70">
        <f>IF(Pay_Num&lt;&gt;"",Scheduled_Monthly_Payment,"")</f>
        <v>2418.3976845093252</v>
      </c>
      <c r="E246" s="71">
        <f>IF(AND(Pay_Num&lt;&gt;"",Sched_Pay+Scheduled_Extra_Payments&lt;Beg_Bal),Scheduled_Extra_Payments,IF(AND(Pay_Num&lt;&gt;"",Beg_Bal-Sched_Pay&gt;0),Beg_Bal-Sched_Pay,IF(Pay_Num&lt;&gt;"",0,"")))</f>
        <v>0</v>
      </c>
      <c r="F246" s="70">
        <f>IF(AND(Pay_Num&lt;&gt;"",Sched_Pay+Extra_Pay&lt;Beg_Bal),Sched_Pay+Extra_Pay,IF(Pay_Num&lt;&gt;"",Beg_Bal,""))</f>
        <v>0</v>
      </c>
      <c r="G246" s="70">
        <f>IF(Pay_Num&lt;&gt;"",Total_Pay-Int,"")</f>
        <v>0</v>
      </c>
      <c r="H246" s="70">
        <f>IF(Pay_Num&lt;&gt;"",Beg_Bal*Interest_Rate/Num_Pmt_Per_Year,"")</f>
        <v>0</v>
      </c>
      <c r="I246" s="70">
        <f>IF(AND(Pay_Num&lt;&gt;"",Sched_Pay+Extra_Pay&lt;Beg_Bal),Beg_Bal-Princ,IF(Pay_Num&lt;&gt;"",0,""))</f>
        <v>0</v>
      </c>
      <c r="J246" s="70">
        <f>SUM($H$18:$H246)</f>
        <v>8041.5444282238004</v>
      </c>
    </row>
    <row r="247" spans="1:10" x14ac:dyDescent="0.3">
      <c r="A247" s="36">
        <f>IF(Values_Entered,A246+1,"")</f>
        <v>230</v>
      </c>
      <c r="B247" s="35">
        <f>IF(Pay_Num&lt;&gt;"",DATE(YEAR(Loan_Start),MONTH(Loan_Start)+(Pay_Num)*12/Num_Pmt_Per_Year,DAY(Loan_Start)),"")</f>
        <v>52383</v>
      </c>
      <c r="C247" s="70">
        <f>IF(Pay_Num&lt;&gt;"",I246,"")</f>
        <v>0</v>
      </c>
      <c r="D247" s="70">
        <f>IF(Pay_Num&lt;&gt;"",Scheduled_Monthly_Payment,"")</f>
        <v>2418.3976845093252</v>
      </c>
      <c r="E247" s="71">
        <f>IF(AND(Pay_Num&lt;&gt;"",Sched_Pay+Scheduled_Extra_Payments&lt;Beg_Bal),Scheduled_Extra_Payments,IF(AND(Pay_Num&lt;&gt;"",Beg_Bal-Sched_Pay&gt;0),Beg_Bal-Sched_Pay,IF(Pay_Num&lt;&gt;"",0,"")))</f>
        <v>0</v>
      </c>
      <c r="F247" s="70">
        <f>IF(AND(Pay_Num&lt;&gt;"",Sched_Pay+Extra_Pay&lt;Beg_Bal),Sched_Pay+Extra_Pay,IF(Pay_Num&lt;&gt;"",Beg_Bal,""))</f>
        <v>0</v>
      </c>
      <c r="G247" s="70">
        <f>IF(Pay_Num&lt;&gt;"",Total_Pay-Int,"")</f>
        <v>0</v>
      </c>
      <c r="H247" s="70">
        <f>IF(Pay_Num&lt;&gt;"",Beg_Bal*Interest_Rate/Num_Pmt_Per_Year,"")</f>
        <v>0</v>
      </c>
      <c r="I247" s="70">
        <f>IF(AND(Pay_Num&lt;&gt;"",Sched_Pay+Extra_Pay&lt;Beg_Bal),Beg_Bal-Princ,IF(Pay_Num&lt;&gt;"",0,""))</f>
        <v>0</v>
      </c>
      <c r="J247" s="70">
        <f>SUM($H$18:$H247)</f>
        <v>8041.5444282238004</v>
      </c>
    </row>
    <row r="248" spans="1:10" x14ac:dyDescent="0.3">
      <c r="A248" s="36">
        <f>IF(Values_Entered,A247+1,"")</f>
        <v>231</v>
      </c>
      <c r="B248" s="35">
        <f>IF(Pay_Num&lt;&gt;"",DATE(YEAR(Loan_Start),MONTH(Loan_Start)+(Pay_Num)*12/Num_Pmt_Per_Year,DAY(Loan_Start)),"")</f>
        <v>52413</v>
      </c>
      <c r="C248" s="70">
        <f>IF(Pay_Num&lt;&gt;"",I247,"")</f>
        <v>0</v>
      </c>
      <c r="D248" s="70">
        <f>IF(Pay_Num&lt;&gt;"",Scheduled_Monthly_Payment,"")</f>
        <v>2418.3976845093252</v>
      </c>
      <c r="E248" s="71">
        <f>IF(AND(Pay_Num&lt;&gt;"",Sched_Pay+Scheduled_Extra_Payments&lt;Beg_Bal),Scheduled_Extra_Payments,IF(AND(Pay_Num&lt;&gt;"",Beg_Bal-Sched_Pay&gt;0),Beg_Bal-Sched_Pay,IF(Pay_Num&lt;&gt;"",0,"")))</f>
        <v>0</v>
      </c>
      <c r="F248" s="70">
        <f>IF(AND(Pay_Num&lt;&gt;"",Sched_Pay+Extra_Pay&lt;Beg_Bal),Sched_Pay+Extra_Pay,IF(Pay_Num&lt;&gt;"",Beg_Bal,""))</f>
        <v>0</v>
      </c>
      <c r="G248" s="70">
        <f>IF(Pay_Num&lt;&gt;"",Total_Pay-Int,"")</f>
        <v>0</v>
      </c>
      <c r="H248" s="70">
        <f>IF(Pay_Num&lt;&gt;"",Beg_Bal*Interest_Rate/Num_Pmt_Per_Year,"")</f>
        <v>0</v>
      </c>
      <c r="I248" s="70">
        <f>IF(AND(Pay_Num&lt;&gt;"",Sched_Pay+Extra_Pay&lt;Beg_Bal),Beg_Bal-Princ,IF(Pay_Num&lt;&gt;"",0,""))</f>
        <v>0</v>
      </c>
      <c r="J248" s="70">
        <f>SUM($H$18:$H248)</f>
        <v>8041.5444282238004</v>
      </c>
    </row>
    <row r="249" spans="1:10" x14ac:dyDescent="0.3">
      <c r="A249" s="36">
        <f>IF(Values_Entered,A248+1,"")</f>
        <v>232</v>
      </c>
      <c r="B249" s="35">
        <f>IF(Pay_Num&lt;&gt;"",DATE(YEAR(Loan_Start),MONTH(Loan_Start)+(Pay_Num)*12/Num_Pmt_Per_Year,DAY(Loan_Start)),"")</f>
        <v>52444</v>
      </c>
      <c r="C249" s="70">
        <f>IF(Pay_Num&lt;&gt;"",I248,"")</f>
        <v>0</v>
      </c>
      <c r="D249" s="70">
        <f>IF(Pay_Num&lt;&gt;"",Scheduled_Monthly_Payment,"")</f>
        <v>2418.3976845093252</v>
      </c>
      <c r="E249" s="71">
        <f>IF(AND(Pay_Num&lt;&gt;"",Sched_Pay+Scheduled_Extra_Payments&lt;Beg_Bal),Scheduled_Extra_Payments,IF(AND(Pay_Num&lt;&gt;"",Beg_Bal-Sched_Pay&gt;0),Beg_Bal-Sched_Pay,IF(Pay_Num&lt;&gt;"",0,"")))</f>
        <v>0</v>
      </c>
      <c r="F249" s="70">
        <f>IF(AND(Pay_Num&lt;&gt;"",Sched_Pay+Extra_Pay&lt;Beg_Bal),Sched_Pay+Extra_Pay,IF(Pay_Num&lt;&gt;"",Beg_Bal,""))</f>
        <v>0</v>
      </c>
      <c r="G249" s="70">
        <f>IF(Pay_Num&lt;&gt;"",Total_Pay-Int,"")</f>
        <v>0</v>
      </c>
      <c r="H249" s="70">
        <f>IF(Pay_Num&lt;&gt;"",Beg_Bal*Interest_Rate/Num_Pmt_Per_Year,"")</f>
        <v>0</v>
      </c>
      <c r="I249" s="70">
        <f>IF(AND(Pay_Num&lt;&gt;"",Sched_Pay+Extra_Pay&lt;Beg_Bal),Beg_Bal-Princ,IF(Pay_Num&lt;&gt;"",0,""))</f>
        <v>0</v>
      </c>
      <c r="J249" s="70">
        <f>SUM($H$18:$H249)</f>
        <v>8041.5444282238004</v>
      </c>
    </row>
    <row r="250" spans="1:10" x14ac:dyDescent="0.3">
      <c r="A250" s="36">
        <f>IF(Values_Entered,A249+1,"")</f>
        <v>233</v>
      </c>
      <c r="B250" s="35">
        <f>IF(Pay_Num&lt;&gt;"",DATE(YEAR(Loan_Start),MONTH(Loan_Start)+(Pay_Num)*12/Num_Pmt_Per_Year,DAY(Loan_Start)),"")</f>
        <v>52475</v>
      </c>
      <c r="C250" s="70">
        <f>IF(Pay_Num&lt;&gt;"",I249,"")</f>
        <v>0</v>
      </c>
      <c r="D250" s="70">
        <f>IF(Pay_Num&lt;&gt;"",Scheduled_Monthly_Payment,"")</f>
        <v>2418.3976845093252</v>
      </c>
      <c r="E250" s="71">
        <f>IF(AND(Pay_Num&lt;&gt;"",Sched_Pay+Scheduled_Extra_Payments&lt;Beg_Bal),Scheduled_Extra_Payments,IF(AND(Pay_Num&lt;&gt;"",Beg_Bal-Sched_Pay&gt;0),Beg_Bal-Sched_Pay,IF(Pay_Num&lt;&gt;"",0,"")))</f>
        <v>0</v>
      </c>
      <c r="F250" s="70">
        <f>IF(AND(Pay_Num&lt;&gt;"",Sched_Pay+Extra_Pay&lt;Beg_Bal),Sched_Pay+Extra_Pay,IF(Pay_Num&lt;&gt;"",Beg_Bal,""))</f>
        <v>0</v>
      </c>
      <c r="G250" s="70">
        <f>IF(Pay_Num&lt;&gt;"",Total_Pay-Int,"")</f>
        <v>0</v>
      </c>
      <c r="H250" s="70">
        <f>IF(Pay_Num&lt;&gt;"",Beg_Bal*Interest_Rate/Num_Pmt_Per_Year,"")</f>
        <v>0</v>
      </c>
      <c r="I250" s="70">
        <f>IF(AND(Pay_Num&lt;&gt;"",Sched_Pay+Extra_Pay&lt;Beg_Bal),Beg_Bal-Princ,IF(Pay_Num&lt;&gt;"",0,""))</f>
        <v>0</v>
      </c>
      <c r="J250" s="70">
        <f>SUM($H$18:$H250)</f>
        <v>8041.5444282238004</v>
      </c>
    </row>
    <row r="251" spans="1:10" x14ac:dyDescent="0.3">
      <c r="A251" s="36">
        <f>IF(Values_Entered,A250+1,"")</f>
        <v>234</v>
      </c>
      <c r="B251" s="35">
        <f>IF(Pay_Num&lt;&gt;"",DATE(YEAR(Loan_Start),MONTH(Loan_Start)+(Pay_Num)*12/Num_Pmt_Per_Year,DAY(Loan_Start)),"")</f>
        <v>52505</v>
      </c>
      <c r="C251" s="70">
        <f>IF(Pay_Num&lt;&gt;"",I250,"")</f>
        <v>0</v>
      </c>
      <c r="D251" s="70">
        <f>IF(Pay_Num&lt;&gt;"",Scheduled_Monthly_Payment,"")</f>
        <v>2418.3976845093252</v>
      </c>
      <c r="E251" s="71">
        <f>IF(AND(Pay_Num&lt;&gt;"",Sched_Pay+Scheduled_Extra_Payments&lt;Beg_Bal),Scheduled_Extra_Payments,IF(AND(Pay_Num&lt;&gt;"",Beg_Bal-Sched_Pay&gt;0),Beg_Bal-Sched_Pay,IF(Pay_Num&lt;&gt;"",0,"")))</f>
        <v>0</v>
      </c>
      <c r="F251" s="70">
        <f>IF(AND(Pay_Num&lt;&gt;"",Sched_Pay+Extra_Pay&lt;Beg_Bal),Sched_Pay+Extra_Pay,IF(Pay_Num&lt;&gt;"",Beg_Bal,""))</f>
        <v>0</v>
      </c>
      <c r="G251" s="70">
        <f>IF(Pay_Num&lt;&gt;"",Total_Pay-Int,"")</f>
        <v>0</v>
      </c>
      <c r="H251" s="70">
        <f>IF(Pay_Num&lt;&gt;"",Beg_Bal*Interest_Rate/Num_Pmt_Per_Year,"")</f>
        <v>0</v>
      </c>
      <c r="I251" s="70">
        <f>IF(AND(Pay_Num&lt;&gt;"",Sched_Pay+Extra_Pay&lt;Beg_Bal),Beg_Bal-Princ,IF(Pay_Num&lt;&gt;"",0,""))</f>
        <v>0</v>
      </c>
      <c r="J251" s="70">
        <f>SUM($H$18:$H251)</f>
        <v>8041.5444282238004</v>
      </c>
    </row>
    <row r="252" spans="1:10" x14ac:dyDescent="0.3">
      <c r="A252" s="36">
        <f>IF(Values_Entered,A251+1,"")</f>
        <v>235</v>
      </c>
      <c r="B252" s="35">
        <f>IF(Pay_Num&lt;&gt;"",DATE(YEAR(Loan_Start),MONTH(Loan_Start)+(Pay_Num)*12/Num_Pmt_Per_Year,DAY(Loan_Start)),"")</f>
        <v>52536</v>
      </c>
      <c r="C252" s="70">
        <f>IF(Pay_Num&lt;&gt;"",I251,"")</f>
        <v>0</v>
      </c>
      <c r="D252" s="70">
        <f>IF(Pay_Num&lt;&gt;"",Scheduled_Monthly_Payment,"")</f>
        <v>2418.3976845093252</v>
      </c>
      <c r="E252" s="71">
        <f>IF(AND(Pay_Num&lt;&gt;"",Sched_Pay+Scheduled_Extra_Payments&lt;Beg_Bal),Scheduled_Extra_Payments,IF(AND(Pay_Num&lt;&gt;"",Beg_Bal-Sched_Pay&gt;0),Beg_Bal-Sched_Pay,IF(Pay_Num&lt;&gt;"",0,"")))</f>
        <v>0</v>
      </c>
      <c r="F252" s="70">
        <f>IF(AND(Pay_Num&lt;&gt;"",Sched_Pay+Extra_Pay&lt;Beg_Bal),Sched_Pay+Extra_Pay,IF(Pay_Num&lt;&gt;"",Beg_Bal,""))</f>
        <v>0</v>
      </c>
      <c r="G252" s="70">
        <f>IF(Pay_Num&lt;&gt;"",Total_Pay-Int,"")</f>
        <v>0</v>
      </c>
      <c r="H252" s="70">
        <f>IF(Pay_Num&lt;&gt;"",Beg_Bal*Interest_Rate/Num_Pmt_Per_Year,"")</f>
        <v>0</v>
      </c>
      <c r="I252" s="70">
        <f>IF(AND(Pay_Num&lt;&gt;"",Sched_Pay+Extra_Pay&lt;Beg_Bal),Beg_Bal-Princ,IF(Pay_Num&lt;&gt;"",0,""))</f>
        <v>0</v>
      </c>
      <c r="J252" s="70">
        <f>SUM($H$18:$H252)</f>
        <v>8041.5444282238004</v>
      </c>
    </row>
    <row r="253" spans="1:10" x14ac:dyDescent="0.3">
      <c r="A253" s="36">
        <f>IF(Values_Entered,A252+1,"")</f>
        <v>236</v>
      </c>
      <c r="B253" s="35">
        <f>IF(Pay_Num&lt;&gt;"",DATE(YEAR(Loan_Start),MONTH(Loan_Start)+(Pay_Num)*12/Num_Pmt_Per_Year,DAY(Loan_Start)),"")</f>
        <v>52566</v>
      </c>
      <c r="C253" s="70">
        <f>IF(Pay_Num&lt;&gt;"",I252,"")</f>
        <v>0</v>
      </c>
      <c r="D253" s="70">
        <f>IF(Pay_Num&lt;&gt;"",Scheduled_Monthly_Payment,"")</f>
        <v>2418.3976845093252</v>
      </c>
      <c r="E253" s="71">
        <f>IF(AND(Pay_Num&lt;&gt;"",Sched_Pay+Scheduled_Extra_Payments&lt;Beg_Bal),Scheduled_Extra_Payments,IF(AND(Pay_Num&lt;&gt;"",Beg_Bal-Sched_Pay&gt;0),Beg_Bal-Sched_Pay,IF(Pay_Num&lt;&gt;"",0,"")))</f>
        <v>0</v>
      </c>
      <c r="F253" s="70">
        <f>IF(AND(Pay_Num&lt;&gt;"",Sched_Pay+Extra_Pay&lt;Beg_Bal),Sched_Pay+Extra_Pay,IF(Pay_Num&lt;&gt;"",Beg_Bal,""))</f>
        <v>0</v>
      </c>
      <c r="G253" s="70">
        <f>IF(Pay_Num&lt;&gt;"",Total_Pay-Int,"")</f>
        <v>0</v>
      </c>
      <c r="H253" s="70">
        <f>IF(Pay_Num&lt;&gt;"",Beg_Bal*Interest_Rate/Num_Pmt_Per_Year,"")</f>
        <v>0</v>
      </c>
      <c r="I253" s="70">
        <f>IF(AND(Pay_Num&lt;&gt;"",Sched_Pay+Extra_Pay&lt;Beg_Bal),Beg_Bal-Princ,IF(Pay_Num&lt;&gt;"",0,""))</f>
        <v>0</v>
      </c>
      <c r="J253" s="70">
        <f>SUM($H$18:$H253)</f>
        <v>8041.5444282238004</v>
      </c>
    </row>
    <row r="254" spans="1:10" x14ac:dyDescent="0.3">
      <c r="A254" s="36">
        <f>IF(Values_Entered,A253+1,"")</f>
        <v>237</v>
      </c>
      <c r="B254" s="35">
        <f>IF(Pay_Num&lt;&gt;"",DATE(YEAR(Loan_Start),MONTH(Loan_Start)+(Pay_Num)*12/Num_Pmt_Per_Year,DAY(Loan_Start)),"")</f>
        <v>52597</v>
      </c>
      <c r="C254" s="70">
        <f>IF(Pay_Num&lt;&gt;"",I253,"")</f>
        <v>0</v>
      </c>
      <c r="D254" s="70">
        <f>IF(Pay_Num&lt;&gt;"",Scheduled_Monthly_Payment,"")</f>
        <v>2418.3976845093252</v>
      </c>
      <c r="E254" s="71">
        <f>IF(AND(Pay_Num&lt;&gt;"",Sched_Pay+Scheduled_Extra_Payments&lt;Beg_Bal),Scheduled_Extra_Payments,IF(AND(Pay_Num&lt;&gt;"",Beg_Bal-Sched_Pay&gt;0),Beg_Bal-Sched_Pay,IF(Pay_Num&lt;&gt;"",0,"")))</f>
        <v>0</v>
      </c>
      <c r="F254" s="70">
        <f>IF(AND(Pay_Num&lt;&gt;"",Sched_Pay+Extra_Pay&lt;Beg_Bal),Sched_Pay+Extra_Pay,IF(Pay_Num&lt;&gt;"",Beg_Bal,""))</f>
        <v>0</v>
      </c>
      <c r="G254" s="70">
        <f>IF(Pay_Num&lt;&gt;"",Total_Pay-Int,"")</f>
        <v>0</v>
      </c>
      <c r="H254" s="70">
        <f>IF(Pay_Num&lt;&gt;"",Beg_Bal*Interest_Rate/Num_Pmt_Per_Year,"")</f>
        <v>0</v>
      </c>
      <c r="I254" s="70">
        <f>IF(AND(Pay_Num&lt;&gt;"",Sched_Pay+Extra_Pay&lt;Beg_Bal),Beg_Bal-Princ,IF(Pay_Num&lt;&gt;"",0,""))</f>
        <v>0</v>
      </c>
      <c r="J254" s="70">
        <f>SUM($H$18:$H254)</f>
        <v>8041.5444282238004</v>
      </c>
    </row>
    <row r="255" spans="1:10" x14ac:dyDescent="0.3">
      <c r="A255" s="36">
        <f>IF(Values_Entered,A254+1,"")</f>
        <v>238</v>
      </c>
      <c r="B255" s="35">
        <f>IF(Pay_Num&lt;&gt;"",DATE(YEAR(Loan_Start),MONTH(Loan_Start)+(Pay_Num)*12/Num_Pmt_Per_Year,DAY(Loan_Start)),"")</f>
        <v>52628</v>
      </c>
      <c r="C255" s="70">
        <f>IF(Pay_Num&lt;&gt;"",I254,"")</f>
        <v>0</v>
      </c>
      <c r="D255" s="70">
        <f>IF(Pay_Num&lt;&gt;"",Scheduled_Monthly_Payment,"")</f>
        <v>2418.3976845093252</v>
      </c>
      <c r="E255" s="71">
        <f>IF(AND(Pay_Num&lt;&gt;"",Sched_Pay+Scheduled_Extra_Payments&lt;Beg_Bal),Scheduled_Extra_Payments,IF(AND(Pay_Num&lt;&gt;"",Beg_Bal-Sched_Pay&gt;0),Beg_Bal-Sched_Pay,IF(Pay_Num&lt;&gt;"",0,"")))</f>
        <v>0</v>
      </c>
      <c r="F255" s="70">
        <f>IF(AND(Pay_Num&lt;&gt;"",Sched_Pay+Extra_Pay&lt;Beg_Bal),Sched_Pay+Extra_Pay,IF(Pay_Num&lt;&gt;"",Beg_Bal,""))</f>
        <v>0</v>
      </c>
      <c r="G255" s="70">
        <f>IF(Pay_Num&lt;&gt;"",Total_Pay-Int,"")</f>
        <v>0</v>
      </c>
      <c r="H255" s="70">
        <f>IF(Pay_Num&lt;&gt;"",Beg_Bal*Interest_Rate/Num_Pmt_Per_Year,"")</f>
        <v>0</v>
      </c>
      <c r="I255" s="70">
        <f>IF(AND(Pay_Num&lt;&gt;"",Sched_Pay+Extra_Pay&lt;Beg_Bal),Beg_Bal-Princ,IF(Pay_Num&lt;&gt;"",0,""))</f>
        <v>0</v>
      </c>
      <c r="J255" s="70">
        <f>SUM($H$18:$H255)</f>
        <v>8041.5444282238004</v>
      </c>
    </row>
    <row r="256" spans="1:10" x14ac:dyDescent="0.3">
      <c r="A256" s="36">
        <f>IF(Values_Entered,A255+1,"")</f>
        <v>239</v>
      </c>
      <c r="B256" s="35">
        <f>IF(Pay_Num&lt;&gt;"",DATE(YEAR(Loan_Start),MONTH(Loan_Start)+(Pay_Num)*12/Num_Pmt_Per_Year,DAY(Loan_Start)),"")</f>
        <v>52657</v>
      </c>
      <c r="C256" s="70">
        <f>IF(Pay_Num&lt;&gt;"",I255,"")</f>
        <v>0</v>
      </c>
      <c r="D256" s="70">
        <f>IF(Pay_Num&lt;&gt;"",Scheduled_Monthly_Payment,"")</f>
        <v>2418.3976845093252</v>
      </c>
      <c r="E256" s="71">
        <f>IF(AND(Pay_Num&lt;&gt;"",Sched_Pay+Scheduled_Extra_Payments&lt;Beg_Bal),Scheduled_Extra_Payments,IF(AND(Pay_Num&lt;&gt;"",Beg_Bal-Sched_Pay&gt;0),Beg_Bal-Sched_Pay,IF(Pay_Num&lt;&gt;"",0,"")))</f>
        <v>0</v>
      </c>
      <c r="F256" s="70">
        <f>IF(AND(Pay_Num&lt;&gt;"",Sched_Pay+Extra_Pay&lt;Beg_Bal),Sched_Pay+Extra_Pay,IF(Pay_Num&lt;&gt;"",Beg_Bal,""))</f>
        <v>0</v>
      </c>
      <c r="G256" s="70">
        <f>IF(Pay_Num&lt;&gt;"",Total_Pay-Int,"")</f>
        <v>0</v>
      </c>
      <c r="H256" s="70">
        <f>IF(Pay_Num&lt;&gt;"",Beg_Bal*Interest_Rate/Num_Pmt_Per_Year,"")</f>
        <v>0</v>
      </c>
      <c r="I256" s="70">
        <f>IF(AND(Pay_Num&lt;&gt;"",Sched_Pay+Extra_Pay&lt;Beg_Bal),Beg_Bal-Princ,IF(Pay_Num&lt;&gt;"",0,""))</f>
        <v>0</v>
      </c>
      <c r="J256" s="70">
        <f>SUM($H$18:$H256)</f>
        <v>8041.5444282238004</v>
      </c>
    </row>
    <row r="257" spans="1:10" x14ac:dyDescent="0.3">
      <c r="A257" s="36">
        <f>IF(Values_Entered,A256+1,"")</f>
        <v>240</v>
      </c>
      <c r="B257" s="35">
        <f>IF(Pay_Num&lt;&gt;"",DATE(YEAR(Loan_Start),MONTH(Loan_Start)+(Pay_Num)*12/Num_Pmt_Per_Year,DAY(Loan_Start)),"")</f>
        <v>52688</v>
      </c>
      <c r="C257" s="70">
        <f>IF(Pay_Num&lt;&gt;"",I256,"")</f>
        <v>0</v>
      </c>
      <c r="D257" s="70">
        <f>IF(Pay_Num&lt;&gt;"",Scheduled_Monthly_Payment,"")</f>
        <v>2418.3976845093252</v>
      </c>
      <c r="E257" s="71">
        <f>IF(AND(Pay_Num&lt;&gt;"",Sched_Pay+Scheduled_Extra_Payments&lt;Beg_Bal),Scheduled_Extra_Payments,IF(AND(Pay_Num&lt;&gt;"",Beg_Bal-Sched_Pay&gt;0),Beg_Bal-Sched_Pay,IF(Pay_Num&lt;&gt;"",0,"")))</f>
        <v>0</v>
      </c>
      <c r="F257" s="70">
        <f>IF(AND(Pay_Num&lt;&gt;"",Sched_Pay+Extra_Pay&lt;Beg_Bal),Sched_Pay+Extra_Pay,IF(Pay_Num&lt;&gt;"",Beg_Bal,""))</f>
        <v>0</v>
      </c>
      <c r="G257" s="70">
        <f>IF(Pay_Num&lt;&gt;"",Total_Pay-Int,"")</f>
        <v>0</v>
      </c>
      <c r="H257" s="70">
        <f>IF(Pay_Num&lt;&gt;"",Beg_Bal*Interest_Rate/Num_Pmt_Per_Year,"")</f>
        <v>0</v>
      </c>
      <c r="I257" s="70">
        <f>IF(AND(Pay_Num&lt;&gt;"",Sched_Pay+Extra_Pay&lt;Beg_Bal),Beg_Bal-Princ,IF(Pay_Num&lt;&gt;"",0,""))</f>
        <v>0</v>
      </c>
      <c r="J257" s="70">
        <f>SUM($H$18:$H257)</f>
        <v>8041.5444282238004</v>
      </c>
    </row>
    <row r="258" spans="1:10" x14ac:dyDescent="0.3">
      <c r="A258" s="36">
        <f>IF(Values_Entered,A257+1,"")</f>
        <v>241</v>
      </c>
      <c r="B258" s="35">
        <f>IF(Pay_Num&lt;&gt;"",DATE(YEAR(Loan_Start),MONTH(Loan_Start)+(Pay_Num)*12/Num_Pmt_Per_Year,DAY(Loan_Start)),"")</f>
        <v>52718</v>
      </c>
      <c r="C258" s="70">
        <f>IF(Pay_Num&lt;&gt;"",I257,"")</f>
        <v>0</v>
      </c>
      <c r="D258" s="70">
        <f>IF(Pay_Num&lt;&gt;"",Scheduled_Monthly_Payment,"")</f>
        <v>2418.3976845093252</v>
      </c>
      <c r="E258" s="71">
        <f>IF(AND(Pay_Num&lt;&gt;"",Sched_Pay+Scheduled_Extra_Payments&lt;Beg_Bal),Scheduled_Extra_Payments,IF(AND(Pay_Num&lt;&gt;"",Beg_Bal-Sched_Pay&gt;0),Beg_Bal-Sched_Pay,IF(Pay_Num&lt;&gt;"",0,"")))</f>
        <v>0</v>
      </c>
      <c r="F258" s="70">
        <f>IF(AND(Pay_Num&lt;&gt;"",Sched_Pay+Extra_Pay&lt;Beg_Bal),Sched_Pay+Extra_Pay,IF(Pay_Num&lt;&gt;"",Beg_Bal,""))</f>
        <v>0</v>
      </c>
      <c r="G258" s="70">
        <f>IF(Pay_Num&lt;&gt;"",Total_Pay-Int,"")</f>
        <v>0</v>
      </c>
      <c r="H258" s="70">
        <f>IF(Pay_Num&lt;&gt;"",Beg_Bal*Interest_Rate/Num_Pmt_Per_Year,"")</f>
        <v>0</v>
      </c>
      <c r="I258" s="70">
        <f>IF(AND(Pay_Num&lt;&gt;"",Sched_Pay+Extra_Pay&lt;Beg_Bal),Beg_Bal-Princ,IF(Pay_Num&lt;&gt;"",0,""))</f>
        <v>0</v>
      </c>
      <c r="J258" s="70">
        <f>SUM($H$18:$H258)</f>
        <v>8041.5444282238004</v>
      </c>
    </row>
    <row r="259" spans="1:10" x14ac:dyDescent="0.3">
      <c r="A259" s="36">
        <f>IF(Values_Entered,A258+1,"")</f>
        <v>242</v>
      </c>
      <c r="B259" s="35">
        <f>IF(Pay_Num&lt;&gt;"",DATE(YEAR(Loan_Start),MONTH(Loan_Start)+(Pay_Num)*12/Num_Pmt_Per_Year,DAY(Loan_Start)),"")</f>
        <v>52749</v>
      </c>
      <c r="C259" s="70">
        <f>IF(Pay_Num&lt;&gt;"",I258,"")</f>
        <v>0</v>
      </c>
      <c r="D259" s="70">
        <f>IF(Pay_Num&lt;&gt;"",Scheduled_Monthly_Payment,"")</f>
        <v>2418.3976845093252</v>
      </c>
      <c r="E259" s="71">
        <f>IF(AND(Pay_Num&lt;&gt;"",Sched_Pay+Scheduled_Extra_Payments&lt;Beg_Bal),Scheduled_Extra_Payments,IF(AND(Pay_Num&lt;&gt;"",Beg_Bal-Sched_Pay&gt;0),Beg_Bal-Sched_Pay,IF(Pay_Num&lt;&gt;"",0,"")))</f>
        <v>0</v>
      </c>
      <c r="F259" s="70">
        <f>IF(AND(Pay_Num&lt;&gt;"",Sched_Pay+Extra_Pay&lt;Beg_Bal),Sched_Pay+Extra_Pay,IF(Pay_Num&lt;&gt;"",Beg_Bal,""))</f>
        <v>0</v>
      </c>
      <c r="G259" s="70">
        <f>IF(Pay_Num&lt;&gt;"",Total_Pay-Int,"")</f>
        <v>0</v>
      </c>
      <c r="H259" s="70">
        <f>IF(Pay_Num&lt;&gt;"",Beg_Bal*Interest_Rate/Num_Pmt_Per_Year,"")</f>
        <v>0</v>
      </c>
      <c r="I259" s="70">
        <f>IF(AND(Pay_Num&lt;&gt;"",Sched_Pay+Extra_Pay&lt;Beg_Bal),Beg_Bal-Princ,IF(Pay_Num&lt;&gt;"",0,""))</f>
        <v>0</v>
      </c>
      <c r="J259" s="70">
        <f>SUM($H$18:$H259)</f>
        <v>8041.5444282238004</v>
      </c>
    </row>
    <row r="260" spans="1:10" x14ac:dyDescent="0.3">
      <c r="A260" s="36">
        <f>IF(Values_Entered,A259+1,"")</f>
        <v>243</v>
      </c>
      <c r="B260" s="35">
        <f>IF(Pay_Num&lt;&gt;"",DATE(YEAR(Loan_Start),MONTH(Loan_Start)+(Pay_Num)*12/Num_Pmt_Per_Year,DAY(Loan_Start)),"")</f>
        <v>52779</v>
      </c>
      <c r="C260" s="70">
        <f>IF(Pay_Num&lt;&gt;"",I259,"")</f>
        <v>0</v>
      </c>
      <c r="D260" s="70">
        <f>IF(Pay_Num&lt;&gt;"",Scheduled_Monthly_Payment,"")</f>
        <v>2418.3976845093252</v>
      </c>
      <c r="E260" s="71">
        <f>IF(AND(Pay_Num&lt;&gt;"",Sched_Pay+Scheduled_Extra_Payments&lt;Beg_Bal),Scheduled_Extra_Payments,IF(AND(Pay_Num&lt;&gt;"",Beg_Bal-Sched_Pay&gt;0),Beg_Bal-Sched_Pay,IF(Pay_Num&lt;&gt;"",0,"")))</f>
        <v>0</v>
      </c>
      <c r="F260" s="70">
        <f>IF(AND(Pay_Num&lt;&gt;"",Sched_Pay+Extra_Pay&lt;Beg_Bal),Sched_Pay+Extra_Pay,IF(Pay_Num&lt;&gt;"",Beg_Bal,""))</f>
        <v>0</v>
      </c>
      <c r="G260" s="70">
        <f>IF(Pay_Num&lt;&gt;"",Total_Pay-Int,"")</f>
        <v>0</v>
      </c>
      <c r="H260" s="70">
        <f>IF(Pay_Num&lt;&gt;"",Beg_Bal*Interest_Rate/Num_Pmt_Per_Year,"")</f>
        <v>0</v>
      </c>
      <c r="I260" s="70">
        <f>IF(AND(Pay_Num&lt;&gt;"",Sched_Pay+Extra_Pay&lt;Beg_Bal),Beg_Bal-Princ,IF(Pay_Num&lt;&gt;"",0,""))</f>
        <v>0</v>
      </c>
      <c r="J260" s="70">
        <f>SUM($H$18:$H260)</f>
        <v>8041.5444282238004</v>
      </c>
    </row>
    <row r="261" spans="1:10" x14ac:dyDescent="0.3">
      <c r="A261" s="36">
        <f>IF(Values_Entered,A260+1,"")</f>
        <v>244</v>
      </c>
      <c r="B261" s="35">
        <f>IF(Pay_Num&lt;&gt;"",DATE(YEAR(Loan_Start),MONTH(Loan_Start)+(Pay_Num)*12/Num_Pmt_Per_Year,DAY(Loan_Start)),"")</f>
        <v>52810</v>
      </c>
      <c r="C261" s="70">
        <f>IF(Pay_Num&lt;&gt;"",I260,"")</f>
        <v>0</v>
      </c>
      <c r="D261" s="70">
        <f>IF(Pay_Num&lt;&gt;"",Scheduled_Monthly_Payment,"")</f>
        <v>2418.3976845093252</v>
      </c>
      <c r="E261" s="71">
        <f>IF(AND(Pay_Num&lt;&gt;"",Sched_Pay+Scheduled_Extra_Payments&lt;Beg_Bal),Scheduled_Extra_Payments,IF(AND(Pay_Num&lt;&gt;"",Beg_Bal-Sched_Pay&gt;0),Beg_Bal-Sched_Pay,IF(Pay_Num&lt;&gt;"",0,"")))</f>
        <v>0</v>
      </c>
      <c r="F261" s="70">
        <f>IF(AND(Pay_Num&lt;&gt;"",Sched_Pay+Extra_Pay&lt;Beg_Bal),Sched_Pay+Extra_Pay,IF(Pay_Num&lt;&gt;"",Beg_Bal,""))</f>
        <v>0</v>
      </c>
      <c r="G261" s="70">
        <f>IF(Pay_Num&lt;&gt;"",Total_Pay-Int,"")</f>
        <v>0</v>
      </c>
      <c r="H261" s="70">
        <f>IF(Pay_Num&lt;&gt;"",Beg_Bal*Interest_Rate/Num_Pmt_Per_Year,"")</f>
        <v>0</v>
      </c>
      <c r="I261" s="70">
        <f>IF(AND(Pay_Num&lt;&gt;"",Sched_Pay+Extra_Pay&lt;Beg_Bal),Beg_Bal-Princ,IF(Pay_Num&lt;&gt;"",0,""))</f>
        <v>0</v>
      </c>
      <c r="J261" s="70">
        <f>SUM($H$18:$H261)</f>
        <v>8041.5444282238004</v>
      </c>
    </row>
    <row r="262" spans="1:10" x14ac:dyDescent="0.3">
      <c r="A262" s="36">
        <f>IF(Values_Entered,A261+1,"")</f>
        <v>245</v>
      </c>
      <c r="B262" s="35">
        <f>IF(Pay_Num&lt;&gt;"",DATE(YEAR(Loan_Start),MONTH(Loan_Start)+(Pay_Num)*12/Num_Pmt_Per_Year,DAY(Loan_Start)),"")</f>
        <v>52841</v>
      </c>
      <c r="C262" s="70">
        <f>IF(Pay_Num&lt;&gt;"",I261,"")</f>
        <v>0</v>
      </c>
      <c r="D262" s="70">
        <f>IF(Pay_Num&lt;&gt;"",Scheduled_Monthly_Payment,"")</f>
        <v>2418.3976845093252</v>
      </c>
      <c r="E262" s="71">
        <f>IF(AND(Pay_Num&lt;&gt;"",Sched_Pay+Scheduled_Extra_Payments&lt;Beg_Bal),Scheduled_Extra_Payments,IF(AND(Pay_Num&lt;&gt;"",Beg_Bal-Sched_Pay&gt;0),Beg_Bal-Sched_Pay,IF(Pay_Num&lt;&gt;"",0,"")))</f>
        <v>0</v>
      </c>
      <c r="F262" s="70">
        <f>IF(AND(Pay_Num&lt;&gt;"",Sched_Pay+Extra_Pay&lt;Beg_Bal),Sched_Pay+Extra_Pay,IF(Pay_Num&lt;&gt;"",Beg_Bal,""))</f>
        <v>0</v>
      </c>
      <c r="G262" s="70">
        <f>IF(Pay_Num&lt;&gt;"",Total_Pay-Int,"")</f>
        <v>0</v>
      </c>
      <c r="H262" s="70">
        <f>IF(Pay_Num&lt;&gt;"",Beg_Bal*Interest_Rate/Num_Pmt_Per_Year,"")</f>
        <v>0</v>
      </c>
      <c r="I262" s="70">
        <f>IF(AND(Pay_Num&lt;&gt;"",Sched_Pay+Extra_Pay&lt;Beg_Bal),Beg_Bal-Princ,IF(Pay_Num&lt;&gt;"",0,""))</f>
        <v>0</v>
      </c>
      <c r="J262" s="70">
        <f>SUM($H$18:$H262)</f>
        <v>8041.5444282238004</v>
      </c>
    </row>
    <row r="263" spans="1:10" x14ac:dyDescent="0.3">
      <c r="A263" s="36">
        <f>IF(Values_Entered,A262+1,"")</f>
        <v>246</v>
      </c>
      <c r="B263" s="35">
        <f>IF(Pay_Num&lt;&gt;"",DATE(YEAR(Loan_Start),MONTH(Loan_Start)+(Pay_Num)*12/Num_Pmt_Per_Year,DAY(Loan_Start)),"")</f>
        <v>52871</v>
      </c>
      <c r="C263" s="70">
        <f>IF(Pay_Num&lt;&gt;"",I262,"")</f>
        <v>0</v>
      </c>
      <c r="D263" s="70">
        <f>IF(Pay_Num&lt;&gt;"",Scheduled_Monthly_Payment,"")</f>
        <v>2418.3976845093252</v>
      </c>
      <c r="E263" s="71">
        <f>IF(AND(Pay_Num&lt;&gt;"",Sched_Pay+Scheduled_Extra_Payments&lt;Beg_Bal),Scheduled_Extra_Payments,IF(AND(Pay_Num&lt;&gt;"",Beg_Bal-Sched_Pay&gt;0),Beg_Bal-Sched_Pay,IF(Pay_Num&lt;&gt;"",0,"")))</f>
        <v>0</v>
      </c>
      <c r="F263" s="70">
        <f>IF(AND(Pay_Num&lt;&gt;"",Sched_Pay+Extra_Pay&lt;Beg_Bal),Sched_Pay+Extra_Pay,IF(Pay_Num&lt;&gt;"",Beg_Bal,""))</f>
        <v>0</v>
      </c>
      <c r="G263" s="70">
        <f>IF(Pay_Num&lt;&gt;"",Total_Pay-Int,"")</f>
        <v>0</v>
      </c>
      <c r="H263" s="70">
        <f>IF(Pay_Num&lt;&gt;"",Beg_Bal*Interest_Rate/Num_Pmt_Per_Year,"")</f>
        <v>0</v>
      </c>
      <c r="I263" s="70">
        <f>IF(AND(Pay_Num&lt;&gt;"",Sched_Pay+Extra_Pay&lt;Beg_Bal),Beg_Bal-Princ,IF(Pay_Num&lt;&gt;"",0,""))</f>
        <v>0</v>
      </c>
      <c r="J263" s="70">
        <f>SUM($H$18:$H263)</f>
        <v>8041.5444282238004</v>
      </c>
    </row>
    <row r="264" spans="1:10" x14ac:dyDescent="0.3">
      <c r="A264" s="36">
        <f>IF(Values_Entered,A263+1,"")</f>
        <v>247</v>
      </c>
      <c r="B264" s="35">
        <f>IF(Pay_Num&lt;&gt;"",DATE(YEAR(Loan_Start),MONTH(Loan_Start)+(Pay_Num)*12/Num_Pmt_Per_Year,DAY(Loan_Start)),"")</f>
        <v>52902</v>
      </c>
      <c r="C264" s="70">
        <f>IF(Pay_Num&lt;&gt;"",I263,"")</f>
        <v>0</v>
      </c>
      <c r="D264" s="70">
        <f>IF(Pay_Num&lt;&gt;"",Scheduled_Monthly_Payment,"")</f>
        <v>2418.3976845093252</v>
      </c>
      <c r="E264" s="71">
        <f>IF(AND(Pay_Num&lt;&gt;"",Sched_Pay+Scheduled_Extra_Payments&lt;Beg_Bal),Scheduled_Extra_Payments,IF(AND(Pay_Num&lt;&gt;"",Beg_Bal-Sched_Pay&gt;0),Beg_Bal-Sched_Pay,IF(Pay_Num&lt;&gt;"",0,"")))</f>
        <v>0</v>
      </c>
      <c r="F264" s="70">
        <f>IF(AND(Pay_Num&lt;&gt;"",Sched_Pay+Extra_Pay&lt;Beg_Bal),Sched_Pay+Extra_Pay,IF(Pay_Num&lt;&gt;"",Beg_Bal,""))</f>
        <v>0</v>
      </c>
      <c r="G264" s="70">
        <f>IF(Pay_Num&lt;&gt;"",Total_Pay-Int,"")</f>
        <v>0</v>
      </c>
      <c r="H264" s="70">
        <f>IF(Pay_Num&lt;&gt;"",Beg_Bal*Interest_Rate/Num_Pmt_Per_Year,"")</f>
        <v>0</v>
      </c>
      <c r="I264" s="70">
        <f>IF(AND(Pay_Num&lt;&gt;"",Sched_Pay+Extra_Pay&lt;Beg_Bal),Beg_Bal-Princ,IF(Pay_Num&lt;&gt;"",0,""))</f>
        <v>0</v>
      </c>
      <c r="J264" s="70">
        <f>SUM($H$18:$H264)</f>
        <v>8041.5444282238004</v>
      </c>
    </row>
    <row r="265" spans="1:10" x14ac:dyDescent="0.3">
      <c r="A265" s="36">
        <f>IF(Values_Entered,A264+1,"")</f>
        <v>248</v>
      </c>
      <c r="B265" s="35">
        <f>IF(Pay_Num&lt;&gt;"",DATE(YEAR(Loan_Start),MONTH(Loan_Start)+(Pay_Num)*12/Num_Pmt_Per_Year,DAY(Loan_Start)),"")</f>
        <v>52932</v>
      </c>
      <c r="C265" s="70">
        <f>IF(Pay_Num&lt;&gt;"",I264,"")</f>
        <v>0</v>
      </c>
      <c r="D265" s="70">
        <f>IF(Pay_Num&lt;&gt;"",Scheduled_Monthly_Payment,"")</f>
        <v>2418.3976845093252</v>
      </c>
      <c r="E265" s="71">
        <f>IF(AND(Pay_Num&lt;&gt;"",Sched_Pay+Scheduled_Extra_Payments&lt;Beg_Bal),Scheduled_Extra_Payments,IF(AND(Pay_Num&lt;&gt;"",Beg_Bal-Sched_Pay&gt;0),Beg_Bal-Sched_Pay,IF(Pay_Num&lt;&gt;"",0,"")))</f>
        <v>0</v>
      </c>
      <c r="F265" s="70">
        <f>IF(AND(Pay_Num&lt;&gt;"",Sched_Pay+Extra_Pay&lt;Beg_Bal),Sched_Pay+Extra_Pay,IF(Pay_Num&lt;&gt;"",Beg_Bal,""))</f>
        <v>0</v>
      </c>
      <c r="G265" s="70">
        <f>IF(Pay_Num&lt;&gt;"",Total_Pay-Int,"")</f>
        <v>0</v>
      </c>
      <c r="H265" s="70">
        <f>IF(Pay_Num&lt;&gt;"",Beg_Bal*Interest_Rate/Num_Pmt_Per_Year,"")</f>
        <v>0</v>
      </c>
      <c r="I265" s="70">
        <f>IF(AND(Pay_Num&lt;&gt;"",Sched_Pay+Extra_Pay&lt;Beg_Bal),Beg_Bal-Princ,IF(Pay_Num&lt;&gt;"",0,""))</f>
        <v>0</v>
      </c>
      <c r="J265" s="70">
        <f>SUM($H$18:$H265)</f>
        <v>8041.5444282238004</v>
      </c>
    </row>
    <row r="266" spans="1:10" x14ac:dyDescent="0.3">
      <c r="A266" s="36">
        <f>IF(Values_Entered,A265+1,"")</f>
        <v>249</v>
      </c>
      <c r="B266" s="35">
        <f>IF(Pay_Num&lt;&gt;"",DATE(YEAR(Loan_Start),MONTH(Loan_Start)+(Pay_Num)*12/Num_Pmt_Per_Year,DAY(Loan_Start)),"")</f>
        <v>52963</v>
      </c>
      <c r="C266" s="70">
        <f>IF(Pay_Num&lt;&gt;"",I265,"")</f>
        <v>0</v>
      </c>
      <c r="D266" s="70">
        <f>IF(Pay_Num&lt;&gt;"",Scheduled_Monthly_Payment,"")</f>
        <v>2418.3976845093252</v>
      </c>
      <c r="E266" s="71">
        <f>IF(AND(Pay_Num&lt;&gt;"",Sched_Pay+Scheduled_Extra_Payments&lt;Beg_Bal),Scheduled_Extra_Payments,IF(AND(Pay_Num&lt;&gt;"",Beg_Bal-Sched_Pay&gt;0),Beg_Bal-Sched_Pay,IF(Pay_Num&lt;&gt;"",0,"")))</f>
        <v>0</v>
      </c>
      <c r="F266" s="70">
        <f>IF(AND(Pay_Num&lt;&gt;"",Sched_Pay+Extra_Pay&lt;Beg_Bal),Sched_Pay+Extra_Pay,IF(Pay_Num&lt;&gt;"",Beg_Bal,""))</f>
        <v>0</v>
      </c>
      <c r="G266" s="70">
        <f>IF(Pay_Num&lt;&gt;"",Total_Pay-Int,"")</f>
        <v>0</v>
      </c>
      <c r="H266" s="70">
        <f>IF(Pay_Num&lt;&gt;"",Beg_Bal*Interest_Rate/Num_Pmt_Per_Year,"")</f>
        <v>0</v>
      </c>
      <c r="I266" s="70">
        <f>IF(AND(Pay_Num&lt;&gt;"",Sched_Pay+Extra_Pay&lt;Beg_Bal),Beg_Bal-Princ,IF(Pay_Num&lt;&gt;"",0,""))</f>
        <v>0</v>
      </c>
      <c r="J266" s="70">
        <f>SUM($H$18:$H266)</f>
        <v>8041.5444282238004</v>
      </c>
    </row>
    <row r="267" spans="1:10" x14ac:dyDescent="0.3">
      <c r="A267" s="36">
        <f>IF(Values_Entered,A266+1,"")</f>
        <v>250</v>
      </c>
      <c r="B267" s="35">
        <f>IF(Pay_Num&lt;&gt;"",DATE(YEAR(Loan_Start),MONTH(Loan_Start)+(Pay_Num)*12/Num_Pmt_Per_Year,DAY(Loan_Start)),"")</f>
        <v>52994</v>
      </c>
      <c r="C267" s="70">
        <f>IF(Pay_Num&lt;&gt;"",I266,"")</f>
        <v>0</v>
      </c>
      <c r="D267" s="70">
        <f>IF(Pay_Num&lt;&gt;"",Scheduled_Monthly_Payment,"")</f>
        <v>2418.3976845093252</v>
      </c>
      <c r="E267" s="71">
        <f>IF(AND(Pay_Num&lt;&gt;"",Sched_Pay+Scheduled_Extra_Payments&lt;Beg_Bal),Scheduled_Extra_Payments,IF(AND(Pay_Num&lt;&gt;"",Beg_Bal-Sched_Pay&gt;0),Beg_Bal-Sched_Pay,IF(Pay_Num&lt;&gt;"",0,"")))</f>
        <v>0</v>
      </c>
      <c r="F267" s="70">
        <f>IF(AND(Pay_Num&lt;&gt;"",Sched_Pay+Extra_Pay&lt;Beg_Bal),Sched_Pay+Extra_Pay,IF(Pay_Num&lt;&gt;"",Beg_Bal,""))</f>
        <v>0</v>
      </c>
      <c r="G267" s="70">
        <f>IF(Pay_Num&lt;&gt;"",Total_Pay-Int,"")</f>
        <v>0</v>
      </c>
      <c r="H267" s="70">
        <f>IF(Pay_Num&lt;&gt;"",Beg_Bal*Interest_Rate/Num_Pmt_Per_Year,"")</f>
        <v>0</v>
      </c>
      <c r="I267" s="70">
        <f>IF(AND(Pay_Num&lt;&gt;"",Sched_Pay+Extra_Pay&lt;Beg_Bal),Beg_Bal-Princ,IF(Pay_Num&lt;&gt;"",0,""))</f>
        <v>0</v>
      </c>
      <c r="J267" s="70">
        <f>SUM($H$18:$H267)</f>
        <v>8041.5444282238004</v>
      </c>
    </row>
    <row r="268" spans="1:10" x14ac:dyDescent="0.3">
      <c r="A268" s="36">
        <f>IF(Values_Entered,A267+1,"")</f>
        <v>251</v>
      </c>
      <c r="B268" s="35">
        <f>IF(Pay_Num&lt;&gt;"",DATE(YEAR(Loan_Start),MONTH(Loan_Start)+(Pay_Num)*12/Num_Pmt_Per_Year,DAY(Loan_Start)),"")</f>
        <v>53022</v>
      </c>
      <c r="C268" s="70">
        <f>IF(Pay_Num&lt;&gt;"",I267,"")</f>
        <v>0</v>
      </c>
      <c r="D268" s="70">
        <f>IF(Pay_Num&lt;&gt;"",Scheduled_Monthly_Payment,"")</f>
        <v>2418.3976845093252</v>
      </c>
      <c r="E268" s="71">
        <f>IF(AND(Pay_Num&lt;&gt;"",Sched_Pay+Scheduled_Extra_Payments&lt;Beg_Bal),Scheduled_Extra_Payments,IF(AND(Pay_Num&lt;&gt;"",Beg_Bal-Sched_Pay&gt;0),Beg_Bal-Sched_Pay,IF(Pay_Num&lt;&gt;"",0,"")))</f>
        <v>0</v>
      </c>
      <c r="F268" s="70">
        <f>IF(AND(Pay_Num&lt;&gt;"",Sched_Pay+Extra_Pay&lt;Beg_Bal),Sched_Pay+Extra_Pay,IF(Pay_Num&lt;&gt;"",Beg_Bal,""))</f>
        <v>0</v>
      </c>
      <c r="G268" s="70">
        <f>IF(Pay_Num&lt;&gt;"",Total_Pay-Int,"")</f>
        <v>0</v>
      </c>
      <c r="H268" s="70">
        <f>IF(Pay_Num&lt;&gt;"",Beg_Bal*Interest_Rate/Num_Pmt_Per_Year,"")</f>
        <v>0</v>
      </c>
      <c r="I268" s="70">
        <f>IF(AND(Pay_Num&lt;&gt;"",Sched_Pay+Extra_Pay&lt;Beg_Bal),Beg_Bal-Princ,IF(Pay_Num&lt;&gt;"",0,""))</f>
        <v>0</v>
      </c>
      <c r="J268" s="70">
        <f>SUM($H$18:$H268)</f>
        <v>8041.5444282238004</v>
      </c>
    </row>
    <row r="269" spans="1:10" x14ac:dyDescent="0.3">
      <c r="A269" s="36">
        <f>IF(Values_Entered,A268+1,"")</f>
        <v>252</v>
      </c>
      <c r="B269" s="35">
        <f>IF(Pay_Num&lt;&gt;"",DATE(YEAR(Loan_Start),MONTH(Loan_Start)+(Pay_Num)*12/Num_Pmt_Per_Year,DAY(Loan_Start)),"")</f>
        <v>53053</v>
      </c>
      <c r="C269" s="70">
        <f>IF(Pay_Num&lt;&gt;"",I268,"")</f>
        <v>0</v>
      </c>
      <c r="D269" s="70">
        <f>IF(Pay_Num&lt;&gt;"",Scheduled_Monthly_Payment,"")</f>
        <v>2418.3976845093252</v>
      </c>
      <c r="E269" s="71">
        <f>IF(AND(Pay_Num&lt;&gt;"",Sched_Pay+Scheduled_Extra_Payments&lt;Beg_Bal),Scheduled_Extra_Payments,IF(AND(Pay_Num&lt;&gt;"",Beg_Bal-Sched_Pay&gt;0),Beg_Bal-Sched_Pay,IF(Pay_Num&lt;&gt;"",0,"")))</f>
        <v>0</v>
      </c>
      <c r="F269" s="70">
        <f>IF(AND(Pay_Num&lt;&gt;"",Sched_Pay+Extra_Pay&lt;Beg_Bal),Sched_Pay+Extra_Pay,IF(Pay_Num&lt;&gt;"",Beg_Bal,""))</f>
        <v>0</v>
      </c>
      <c r="G269" s="70">
        <f>IF(Pay_Num&lt;&gt;"",Total_Pay-Int,"")</f>
        <v>0</v>
      </c>
      <c r="H269" s="70">
        <f>IF(Pay_Num&lt;&gt;"",Beg_Bal*Interest_Rate/Num_Pmt_Per_Year,"")</f>
        <v>0</v>
      </c>
      <c r="I269" s="70">
        <f>IF(AND(Pay_Num&lt;&gt;"",Sched_Pay+Extra_Pay&lt;Beg_Bal),Beg_Bal-Princ,IF(Pay_Num&lt;&gt;"",0,""))</f>
        <v>0</v>
      </c>
      <c r="J269" s="70">
        <f>SUM($H$18:$H269)</f>
        <v>8041.5444282238004</v>
      </c>
    </row>
    <row r="270" spans="1:10" x14ac:dyDescent="0.3">
      <c r="A270" s="36">
        <f>IF(Values_Entered,A269+1,"")</f>
        <v>253</v>
      </c>
      <c r="B270" s="35">
        <f>IF(Pay_Num&lt;&gt;"",DATE(YEAR(Loan_Start),MONTH(Loan_Start)+(Pay_Num)*12/Num_Pmt_Per_Year,DAY(Loan_Start)),"")</f>
        <v>53083</v>
      </c>
      <c r="C270" s="70">
        <f>IF(Pay_Num&lt;&gt;"",I269,"")</f>
        <v>0</v>
      </c>
      <c r="D270" s="70">
        <f>IF(Pay_Num&lt;&gt;"",Scheduled_Monthly_Payment,"")</f>
        <v>2418.3976845093252</v>
      </c>
      <c r="E270" s="71">
        <f>IF(AND(Pay_Num&lt;&gt;"",Sched_Pay+Scheduled_Extra_Payments&lt;Beg_Bal),Scheduled_Extra_Payments,IF(AND(Pay_Num&lt;&gt;"",Beg_Bal-Sched_Pay&gt;0),Beg_Bal-Sched_Pay,IF(Pay_Num&lt;&gt;"",0,"")))</f>
        <v>0</v>
      </c>
      <c r="F270" s="70">
        <f>IF(AND(Pay_Num&lt;&gt;"",Sched_Pay+Extra_Pay&lt;Beg_Bal),Sched_Pay+Extra_Pay,IF(Pay_Num&lt;&gt;"",Beg_Bal,""))</f>
        <v>0</v>
      </c>
      <c r="G270" s="70">
        <f>IF(Pay_Num&lt;&gt;"",Total_Pay-Int,"")</f>
        <v>0</v>
      </c>
      <c r="H270" s="70">
        <f>IF(Pay_Num&lt;&gt;"",Beg_Bal*Interest_Rate/Num_Pmt_Per_Year,"")</f>
        <v>0</v>
      </c>
      <c r="I270" s="70">
        <f>IF(AND(Pay_Num&lt;&gt;"",Sched_Pay+Extra_Pay&lt;Beg_Bal),Beg_Bal-Princ,IF(Pay_Num&lt;&gt;"",0,""))</f>
        <v>0</v>
      </c>
      <c r="J270" s="70">
        <f>SUM($H$18:$H270)</f>
        <v>8041.5444282238004</v>
      </c>
    </row>
    <row r="271" spans="1:10" x14ac:dyDescent="0.3">
      <c r="A271" s="36">
        <f>IF(Values_Entered,A270+1,"")</f>
        <v>254</v>
      </c>
      <c r="B271" s="35">
        <f>IF(Pay_Num&lt;&gt;"",DATE(YEAR(Loan_Start),MONTH(Loan_Start)+(Pay_Num)*12/Num_Pmt_Per_Year,DAY(Loan_Start)),"")</f>
        <v>53114</v>
      </c>
      <c r="C271" s="70">
        <f>IF(Pay_Num&lt;&gt;"",I270,"")</f>
        <v>0</v>
      </c>
      <c r="D271" s="70">
        <f>IF(Pay_Num&lt;&gt;"",Scheduled_Monthly_Payment,"")</f>
        <v>2418.3976845093252</v>
      </c>
      <c r="E271" s="71">
        <f>IF(AND(Pay_Num&lt;&gt;"",Sched_Pay+Scheduled_Extra_Payments&lt;Beg_Bal),Scheduled_Extra_Payments,IF(AND(Pay_Num&lt;&gt;"",Beg_Bal-Sched_Pay&gt;0),Beg_Bal-Sched_Pay,IF(Pay_Num&lt;&gt;"",0,"")))</f>
        <v>0</v>
      </c>
      <c r="F271" s="70">
        <f>IF(AND(Pay_Num&lt;&gt;"",Sched_Pay+Extra_Pay&lt;Beg_Bal),Sched_Pay+Extra_Pay,IF(Pay_Num&lt;&gt;"",Beg_Bal,""))</f>
        <v>0</v>
      </c>
      <c r="G271" s="70">
        <f>IF(Pay_Num&lt;&gt;"",Total_Pay-Int,"")</f>
        <v>0</v>
      </c>
      <c r="H271" s="70">
        <f>IF(Pay_Num&lt;&gt;"",Beg_Bal*Interest_Rate/Num_Pmt_Per_Year,"")</f>
        <v>0</v>
      </c>
      <c r="I271" s="70">
        <f>IF(AND(Pay_Num&lt;&gt;"",Sched_Pay+Extra_Pay&lt;Beg_Bal),Beg_Bal-Princ,IF(Pay_Num&lt;&gt;"",0,""))</f>
        <v>0</v>
      </c>
      <c r="J271" s="70">
        <f>SUM($H$18:$H271)</f>
        <v>8041.5444282238004</v>
      </c>
    </row>
    <row r="272" spans="1:10" x14ac:dyDescent="0.3">
      <c r="A272" s="36">
        <f>IF(Values_Entered,A271+1,"")</f>
        <v>255</v>
      </c>
      <c r="B272" s="35">
        <f>IF(Pay_Num&lt;&gt;"",DATE(YEAR(Loan_Start),MONTH(Loan_Start)+(Pay_Num)*12/Num_Pmt_Per_Year,DAY(Loan_Start)),"")</f>
        <v>53144</v>
      </c>
      <c r="C272" s="70">
        <f>IF(Pay_Num&lt;&gt;"",I271,"")</f>
        <v>0</v>
      </c>
      <c r="D272" s="70">
        <f>IF(Pay_Num&lt;&gt;"",Scheduled_Monthly_Payment,"")</f>
        <v>2418.3976845093252</v>
      </c>
      <c r="E272" s="71">
        <f>IF(AND(Pay_Num&lt;&gt;"",Sched_Pay+Scheduled_Extra_Payments&lt;Beg_Bal),Scheduled_Extra_Payments,IF(AND(Pay_Num&lt;&gt;"",Beg_Bal-Sched_Pay&gt;0),Beg_Bal-Sched_Pay,IF(Pay_Num&lt;&gt;"",0,"")))</f>
        <v>0</v>
      </c>
      <c r="F272" s="70">
        <f>IF(AND(Pay_Num&lt;&gt;"",Sched_Pay+Extra_Pay&lt;Beg_Bal),Sched_Pay+Extra_Pay,IF(Pay_Num&lt;&gt;"",Beg_Bal,""))</f>
        <v>0</v>
      </c>
      <c r="G272" s="70">
        <f>IF(Pay_Num&lt;&gt;"",Total_Pay-Int,"")</f>
        <v>0</v>
      </c>
      <c r="H272" s="70">
        <f>IF(Pay_Num&lt;&gt;"",Beg_Bal*Interest_Rate/Num_Pmt_Per_Year,"")</f>
        <v>0</v>
      </c>
      <c r="I272" s="70">
        <f>IF(AND(Pay_Num&lt;&gt;"",Sched_Pay+Extra_Pay&lt;Beg_Bal),Beg_Bal-Princ,IF(Pay_Num&lt;&gt;"",0,""))</f>
        <v>0</v>
      </c>
      <c r="J272" s="70">
        <f>SUM($H$18:$H272)</f>
        <v>8041.5444282238004</v>
      </c>
    </row>
    <row r="273" spans="1:10" x14ac:dyDescent="0.3">
      <c r="A273" s="36">
        <f>IF(Values_Entered,A272+1,"")</f>
        <v>256</v>
      </c>
      <c r="B273" s="35">
        <f>IF(Pay_Num&lt;&gt;"",DATE(YEAR(Loan_Start),MONTH(Loan_Start)+(Pay_Num)*12/Num_Pmt_Per_Year,DAY(Loan_Start)),"")</f>
        <v>53175</v>
      </c>
      <c r="C273" s="70">
        <f>IF(Pay_Num&lt;&gt;"",I272,"")</f>
        <v>0</v>
      </c>
      <c r="D273" s="70">
        <f>IF(Pay_Num&lt;&gt;"",Scheduled_Monthly_Payment,"")</f>
        <v>2418.3976845093252</v>
      </c>
      <c r="E273" s="71">
        <f>IF(AND(Pay_Num&lt;&gt;"",Sched_Pay+Scheduled_Extra_Payments&lt;Beg_Bal),Scheduled_Extra_Payments,IF(AND(Pay_Num&lt;&gt;"",Beg_Bal-Sched_Pay&gt;0),Beg_Bal-Sched_Pay,IF(Pay_Num&lt;&gt;"",0,"")))</f>
        <v>0</v>
      </c>
      <c r="F273" s="70">
        <f>IF(AND(Pay_Num&lt;&gt;"",Sched_Pay+Extra_Pay&lt;Beg_Bal),Sched_Pay+Extra_Pay,IF(Pay_Num&lt;&gt;"",Beg_Bal,""))</f>
        <v>0</v>
      </c>
      <c r="G273" s="70">
        <f>IF(Pay_Num&lt;&gt;"",Total_Pay-Int,"")</f>
        <v>0</v>
      </c>
      <c r="H273" s="70">
        <f>IF(Pay_Num&lt;&gt;"",Beg_Bal*Interest_Rate/Num_Pmt_Per_Year,"")</f>
        <v>0</v>
      </c>
      <c r="I273" s="70">
        <f>IF(AND(Pay_Num&lt;&gt;"",Sched_Pay+Extra_Pay&lt;Beg_Bal),Beg_Bal-Princ,IF(Pay_Num&lt;&gt;"",0,""))</f>
        <v>0</v>
      </c>
      <c r="J273" s="70">
        <f>SUM($H$18:$H273)</f>
        <v>8041.5444282238004</v>
      </c>
    </row>
    <row r="274" spans="1:10" x14ac:dyDescent="0.3">
      <c r="A274" s="36">
        <f>IF(Values_Entered,A273+1,"")</f>
        <v>257</v>
      </c>
      <c r="B274" s="35">
        <f>IF(Pay_Num&lt;&gt;"",DATE(YEAR(Loan_Start),MONTH(Loan_Start)+(Pay_Num)*12/Num_Pmt_Per_Year,DAY(Loan_Start)),"")</f>
        <v>53206</v>
      </c>
      <c r="C274" s="70">
        <f>IF(Pay_Num&lt;&gt;"",I273,"")</f>
        <v>0</v>
      </c>
      <c r="D274" s="70">
        <f>IF(Pay_Num&lt;&gt;"",Scheduled_Monthly_Payment,"")</f>
        <v>2418.3976845093252</v>
      </c>
      <c r="E274" s="71">
        <f>IF(AND(Pay_Num&lt;&gt;"",Sched_Pay+Scheduled_Extra_Payments&lt;Beg_Bal),Scheduled_Extra_Payments,IF(AND(Pay_Num&lt;&gt;"",Beg_Bal-Sched_Pay&gt;0),Beg_Bal-Sched_Pay,IF(Pay_Num&lt;&gt;"",0,"")))</f>
        <v>0</v>
      </c>
      <c r="F274" s="70">
        <f>IF(AND(Pay_Num&lt;&gt;"",Sched_Pay+Extra_Pay&lt;Beg_Bal),Sched_Pay+Extra_Pay,IF(Pay_Num&lt;&gt;"",Beg_Bal,""))</f>
        <v>0</v>
      </c>
      <c r="G274" s="70">
        <f>IF(Pay_Num&lt;&gt;"",Total_Pay-Int,"")</f>
        <v>0</v>
      </c>
      <c r="H274" s="70">
        <f>IF(Pay_Num&lt;&gt;"",Beg_Bal*Interest_Rate/Num_Pmt_Per_Year,"")</f>
        <v>0</v>
      </c>
      <c r="I274" s="70">
        <f>IF(AND(Pay_Num&lt;&gt;"",Sched_Pay+Extra_Pay&lt;Beg_Bal),Beg_Bal-Princ,IF(Pay_Num&lt;&gt;"",0,""))</f>
        <v>0</v>
      </c>
      <c r="J274" s="70">
        <f>SUM($H$18:$H274)</f>
        <v>8041.5444282238004</v>
      </c>
    </row>
    <row r="275" spans="1:10" x14ac:dyDescent="0.3">
      <c r="A275" s="36">
        <f>IF(Values_Entered,A274+1,"")</f>
        <v>258</v>
      </c>
      <c r="B275" s="35">
        <f>IF(Pay_Num&lt;&gt;"",DATE(YEAR(Loan_Start),MONTH(Loan_Start)+(Pay_Num)*12/Num_Pmt_Per_Year,DAY(Loan_Start)),"")</f>
        <v>53236</v>
      </c>
      <c r="C275" s="70">
        <f>IF(Pay_Num&lt;&gt;"",I274,"")</f>
        <v>0</v>
      </c>
      <c r="D275" s="70">
        <f>IF(Pay_Num&lt;&gt;"",Scheduled_Monthly_Payment,"")</f>
        <v>2418.3976845093252</v>
      </c>
      <c r="E275" s="71">
        <f>IF(AND(Pay_Num&lt;&gt;"",Sched_Pay+Scheduled_Extra_Payments&lt;Beg_Bal),Scheduled_Extra_Payments,IF(AND(Pay_Num&lt;&gt;"",Beg_Bal-Sched_Pay&gt;0),Beg_Bal-Sched_Pay,IF(Pay_Num&lt;&gt;"",0,"")))</f>
        <v>0</v>
      </c>
      <c r="F275" s="70">
        <f>IF(AND(Pay_Num&lt;&gt;"",Sched_Pay+Extra_Pay&lt;Beg_Bal),Sched_Pay+Extra_Pay,IF(Pay_Num&lt;&gt;"",Beg_Bal,""))</f>
        <v>0</v>
      </c>
      <c r="G275" s="70">
        <f>IF(Pay_Num&lt;&gt;"",Total_Pay-Int,"")</f>
        <v>0</v>
      </c>
      <c r="H275" s="70">
        <f>IF(Pay_Num&lt;&gt;"",Beg_Bal*Interest_Rate/Num_Pmt_Per_Year,"")</f>
        <v>0</v>
      </c>
      <c r="I275" s="70">
        <f>IF(AND(Pay_Num&lt;&gt;"",Sched_Pay+Extra_Pay&lt;Beg_Bal),Beg_Bal-Princ,IF(Pay_Num&lt;&gt;"",0,""))</f>
        <v>0</v>
      </c>
      <c r="J275" s="70">
        <f>SUM($H$18:$H275)</f>
        <v>8041.5444282238004</v>
      </c>
    </row>
    <row r="276" spans="1:10" x14ac:dyDescent="0.3">
      <c r="A276" s="36">
        <f>IF(Values_Entered,A275+1,"")</f>
        <v>259</v>
      </c>
      <c r="B276" s="35">
        <f>IF(Pay_Num&lt;&gt;"",DATE(YEAR(Loan_Start),MONTH(Loan_Start)+(Pay_Num)*12/Num_Pmt_Per_Year,DAY(Loan_Start)),"")</f>
        <v>53267</v>
      </c>
      <c r="C276" s="70">
        <f>IF(Pay_Num&lt;&gt;"",I275,"")</f>
        <v>0</v>
      </c>
      <c r="D276" s="70">
        <f>IF(Pay_Num&lt;&gt;"",Scheduled_Monthly_Payment,"")</f>
        <v>2418.3976845093252</v>
      </c>
      <c r="E276" s="71">
        <f>IF(AND(Pay_Num&lt;&gt;"",Sched_Pay+Scheduled_Extra_Payments&lt;Beg_Bal),Scheduled_Extra_Payments,IF(AND(Pay_Num&lt;&gt;"",Beg_Bal-Sched_Pay&gt;0),Beg_Bal-Sched_Pay,IF(Pay_Num&lt;&gt;"",0,"")))</f>
        <v>0</v>
      </c>
      <c r="F276" s="70">
        <f>IF(AND(Pay_Num&lt;&gt;"",Sched_Pay+Extra_Pay&lt;Beg_Bal),Sched_Pay+Extra_Pay,IF(Pay_Num&lt;&gt;"",Beg_Bal,""))</f>
        <v>0</v>
      </c>
      <c r="G276" s="70">
        <f>IF(Pay_Num&lt;&gt;"",Total_Pay-Int,"")</f>
        <v>0</v>
      </c>
      <c r="H276" s="70">
        <f>IF(Pay_Num&lt;&gt;"",Beg_Bal*Interest_Rate/Num_Pmt_Per_Year,"")</f>
        <v>0</v>
      </c>
      <c r="I276" s="70">
        <f>IF(AND(Pay_Num&lt;&gt;"",Sched_Pay+Extra_Pay&lt;Beg_Bal),Beg_Bal-Princ,IF(Pay_Num&lt;&gt;"",0,""))</f>
        <v>0</v>
      </c>
      <c r="J276" s="70">
        <f>SUM($H$18:$H276)</f>
        <v>8041.5444282238004</v>
      </c>
    </row>
    <row r="277" spans="1:10" x14ac:dyDescent="0.3">
      <c r="A277" s="36">
        <f>IF(Values_Entered,A276+1,"")</f>
        <v>260</v>
      </c>
      <c r="B277" s="35">
        <f>IF(Pay_Num&lt;&gt;"",DATE(YEAR(Loan_Start),MONTH(Loan_Start)+(Pay_Num)*12/Num_Pmt_Per_Year,DAY(Loan_Start)),"")</f>
        <v>53297</v>
      </c>
      <c r="C277" s="70">
        <f>IF(Pay_Num&lt;&gt;"",I276,"")</f>
        <v>0</v>
      </c>
      <c r="D277" s="70">
        <f>IF(Pay_Num&lt;&gt;"",Scheduled_Monthly_Payment,"")</f>
        <v>2418.3976845093252</v>
      </c>
      <c r="E277" s="71">
        <f>IF(AND(Pay_Num&lt;&gt;"",Sched_Pay+Scheduled_Extra_Payments&lt;Beg_Bal),Scheduled_Extra_Payments,IF(AND(Pay_Num&lt;&gt;"",Beg_Bal-Sched_Pay&gt;0),Beg_Bal-Sched_Pay,IF(Pay_Num&lt;&gt;"",0,"")))</f>
        <v>0</v>
      </c>
      <c r="F277" s="70">
        <f>IF(AND(Pay_Num&lt;&gt;"",Sched_Pay+Extra_Pay&lt;Beg_Bal),Sched_Pay+Extra_Pay,IF(Pay_Num&lt;&gt;"",Beg_Bal,""))</f>
        <v>0</v>
      </c>
      <c r="G277" s="70">
        <f>IF(Pay_Num&lt;&gt;"",Total_Pay-Int,"")</f>
        <v>0</v>
      </c>
      <c r="H277" s="70">
        <f>IF(Pay_Num&lt;&gt;"",Beg_Bal*Interest_Rate/Num_Pmt_Per_Year,"")</f>
        <v>0</v>
      </c>
      <c r="I277" s="70">
        <f>IF(AND(Pay_Num&lt;&gt;"",Sched_Pay+Extra_Pay&lt;Beg_Bal),Beg_Bal-Princ,IF(Pay_Num&lt;&gt;"",0,""))</f>
        <v>0</v>
      </c>
      <c r="J277" s="70">
        <f>SUM($H$18:$H277)</f>
        <v>8041.5444282238004</v>
      </c>
    </row>
    <row r="278" spans="1:10" x14ac:dyDescent="0.3">
      <c r="A278" s="36">
        <f>IF(Values_Entered,A277+1,"")</f>
        <v>261</v>
      </c>
      <c r="B278" s="35">
        <f>IF(Pay_Num&lt;&gt;"",DATE(YEAR(Loan_Start),MONTH(Loan_Start)+(Pay_Num)*12/Num_Pmt_Per_Year,DAY(Loan_Start)),"")</f>
        <v>53328</v>
      </c>
      <c r="C278" s="70">
        <f>IF(Pay_Num&lt;&gt;"",I277,"")</f>
        <v>0</v>
      </c>
      <c r="D278" s="70">
        <f>IF(Pay_Num&lt;&gt;"",Scheduled_Monthly_Payment,"")</f>
        <v>2418.3976845093252</v>
      </c>
      <c r="E278" s="71">
        <f>IF(AND(Pay_Num&lt;&gt;"",Sched_Pay+Scheduled_Extra_Payments&lt;Beg_Bal),Scheduled_Extra_Payments,IF(AND(Pay_Num&lt;&gt;"",Beg_Bal-Sched_Pay&gt;0),Beg_Bal-Sched_Pay,IF(Pay_Num&lt;&gt;"",0,"")))</f>
        <v>0</v>
      </c>
      <c r="F278" s="70">
        <f>IF(AND(Pay_Num&lt;&gt;"",Sched_Pay+Extra_Pay&lt;Beg_Bal),Sched_Pay+Extra_Pay,IF(Pay_Num&lt;&gt;"",Beg_Bal,""))</f>
        <v>0</v>
      </c>
      <c r="G278" s="70">
        <f>IF(Pay_Num&lt;&gt;"",Total_Pay-Int,"")</f>
        <v>0</v>
      </c>
      <c r="H278" s="70">
        <f>IF(Pay_Num&lt;&gt;"",Beg_Bal*Interest_Rate/Num_Pmt_Per_Year,"")</f>
        <v>0</v>
      </c>
      <c r="I278" s="70">
        <f>IF(AND(Pay_Num&lt;&gt;"",Sched_Pay+Extra_Pay&lt;Beg_Bal),Beg_Bal-Princ,IF(Pay_Num&lt;&gt;"",0,""))</f>
        <v>0</v>
      </c>
      <c r="J278" s="70">
        <f>SUM($H$18:$H278)</f>
        <v>8041.5444282238004</v>
      </c>
    </row>
    <row r="279" spans="1:10" x14ac:dyDescent="0.3">
      <c r="A279" s="36">
        <f>IF(Values_Entered,A278+1,"")</f>
        <v>262</v>
      </c>
      <c r="B279" s="35">
        <f>IF(Pay_Num&lt;&gt;"",DATE(YEAR(Loan_Start),MONTH(Loan_Start)+(Pay_Num)*12/Num_Pmt_Per_Year,DAY(Loan_Start)),"")</f>
        <v>53359</v>
      </c>
      <c r="C279" s="70">
        <f>IF(Pay_Num&lt;&gt;"",I278,"")</f>
        <v>0</v>
      </c>
      <c r="D279" s="70">
        <f>IF(Pay_Num&lt;&gt;"",Scheduled_Monthly_Payment,"")</f>
        <v>2418.3976845093252</v>
      </c>
      <c r="E279" s="71">
        <f>IF(AND(Pay_Num&lt;&gt;"",Sched_Pay+Scheduled_Extra_Payments&lt;Beg_Bal),Scheduled_Extra_Payments,IF(AND(Pay_Num&lt;&gt;"",Beg_Bal-Sched_Pay&gt;0),Beg_Bal-Sched_Pay,IF(Pay_Num&lt;&gt;"",0,"")))</f>
        <v>0</v>
      </c>
      <c r="F279" s="70">
        <f>IF(AND(Pay_Num&lt;&gt;"",Sched_Pay+Extra_Pay&lt;Beg_Bal),Sched_Pay+Extra_Pay,IF(Pay_Num&lt;&gt;"",Beg_Bal,""))</f>
        <v>0</v>
      </c>
      <c r="G279" s="70">
        <f>IF(Pay_Num&lt;&gt;"",Total_Pay-Int,"")</f>
        <v>0</v>
      </c>
      <c r="H279" s="70">
        <f>IF(Pay_Num&lt;&gt;"",Beg_Bal*Interest_Rate/Num_Pmt_Per_Year,"")</f>
        <v>0</v>
      </c>
      <c r="I279" s="70">
        <f>IF(AND(Pay_Num&lt;&gt;"",Sched_Pay+Extra_Pay&lt;Beg_Bal),Beg_Bal-Princ,IF(Pay_Num&lt;&gt;"",0,""))</f>
        <v>0</v>
      </c>
      <c r="J279" s="70">
        <f>SUM($H$18:$H279)</f>
        <v>8041.5444282238004</v>
      </c>
    </row>
    <row r="280" spans="1:10" x14ac:dyDescent="0.3">
      <c r="A280" s="36">
        <f>IF(Values_Entered,A279+1,"")</f>
        <v>263</v>
      </c>
      <c r="B280" s="35">
        <f>IF(Pay_Num&lt;&gt;"",DATE(YEAR(Loan_Start),MONTH(Loan_Start)+(Pay_Num)*12/Num_Pmt_Per_Year,DAY(Loan_Start)),"")</f>
        <v>53387</v>
      </c>
      <c r="C280" s="70">
        <f>IF(Pay_Num&lt;&gt;"",I279,"")</f>
        <v>0</v>
      </c>
      <c r="D280" s="70">
        <f>IF(Pay_Num&lt;&gt;"",Scheduled_Monthly_Payment,"")</f>
        <v>2418.3976845093252</v>
      </c>
      <c r="E280" s="71">
        <f>IF(AND(Pay_Num&lt;&gt;"",Sched_Pay+Scheduled_Extra_Payments&lt;Beg_Bal),Scheduled_Extra_Payments,IF(AND(Pay_Num&lt;&gt;"",Beg_Bal-Sched_Pay&gt;0),Beg_Bal-Sched_Pay,IF(Pay_Num&lt;&gt;"",0,"")))</f>
        <v>0</v>
      </c>
      <c r="F280" s="70">
        <f>IF(AND(Pay_Num&lt;&gt;"",Sched_Pay+Extra_Pay&lt;Beg_Bal),Sched_Pay+Extra_Pay,IF(Pay_Num&lt;&gt;"",Beg_Bal,""))</f>
        <v>0</v>
      </c>
      <c r="G280" s="70">
        <f>IF(Pay_Num&lt;&gt;"",Total_Pay-Int,"")</f>
        <v>0</v>
      </c>
      <c r="H280" s="70">
        <f>IF(Pay_Num&lt;&gt;"",Beg_Bal*Interest_Rate/Num_Pmt_Per_Year,"")</f>
        <v>0</v>
      </c>
      <c r="I280" s="70">
        <f>IF(AND(Pay_Num&lt;&gt;"",Sched_Pay+Extra_Pay&lt;Beg_Bal),Beg_Bal-Princ,IF(Pay_Num&lt;&gt;"",0,""))</f>
        <v>0</v>
      </c>
      <c r="J280" s="70">
        <f>SUM($H$18:$H280)</f>
        <v>8041.5444282238004</v>
      </c>
    </row>
    <row r="281" spans="1:10" x14ac:dyDescent="0.3">
      <c r="A281" s="36">
        <f>IF(Values_Entered,A280+1,"")</f>
        <v>264</v>
      </c>
      <c r="B281" s="35">
        <f>IF(Pay_Num&lt;&gt;"",DATE(YEAR(Loan_Start),MONTH(Loan_Start)+(Pay_Num)*12/Num_Pmt_Per_Year,DAY(Loan_Start)),"")</f>
        <v>53418</v>
      </c>
      <c r="C281" s="70">
        <f>IF(Pay_Num&lt;&gt;"",I280,"")</f>
        <v>0</v>
      </c>
      <c r="D281" s="70">
        <f>IF(Pay_Num&lt;&gt;"",Scheduled_Monthly_Payment,"")</f>
        <v>2418.3976845093252</v>
      </c>
      <c r="E281" s="71">
        <f>IF(AND(Pay_Num&lt;&gt;"",Sched_Pay+Scheduled_Extra_Payments&lt;Beg_Bal),Scheduled_Extra_Payments,IF(AND(Pay_Num&lt;&gt;"",Beg_Bal-Sched_Pay&gt;0),Beg_Bal-Sched_Pay,IF(Pay_Num&lt;&gt;"",0,"")))</f>
        <v>0</v>
      </c>
      <c r="F281" s="70">
        <f>IF(AND(Pay_Num&lt;&gt;"",Sched_Pay+Extra_Pay&lt;Beg_Bal),Sched_Pay+Extra_Pay,IF(Pay_Num&lt;&gt;"",Beg_Bal,""))</f>
        <v>0</v>
      </c>
      <c r="G281" s="70">
        <f>IF(Pay_Num&lt;&gt;"",Total_Pay-Int,"")</f>
        <v>0</v>
      </c>
      <c r="H281" s="70">
        <f>IF(Pay_Num&lt;&gt;"",Beg_Bal*Interest_Rate/Num_Pmt_Per_Year,"")</f>
        <v>0</v>
      </c>
      <c r="I281" s="70">
        <f>IF(AND(Pay_Num&lt;&gt;"",Sched_Pay+Extra_Pay&lt;Beg_Bal),Beg_Bal-Princ,IF(Pay_Num&lt;&gt;"",0,""))</f>
        <v>0</v>
      </c>
      <c r="J281" s="70">
        <f>SUM($H$18:$H281)</f>
        <v>8041.5444282238004</v>
      </c>
    </row>
    <row r="282" spans="1:10" x14ac:dyDescent="0.3">
      <c r="A282" s="36">
        <f>IF(Values_Entered,A281+1,"")</f>
        <v>265</v>
      </c>
      <c r="B282" s="35">
        <f>IF(Pay_Num&lt;&gt;"",DATE(YEAR(Loan_Start),MONTH(Loan_Start)+(Pay_Num)*12/Num_Pmt_Per_Year,DAY(Loan_Start)),"")</f>
        <v>53448</v>
      </c>
      <c r="C282" s="70">
        <f>IF(Pay_Num&lt;&gt;"",I281,"")</f>
        <v>0</v>
      </c>
      <c r="D282" s="70">
        <f>IF(Pay_Num&lt;&gt;"",Scheduled_Monthly_Payment,"")</f>
        <v>2418.3976845093252</v>
      </c>
      <c r="E282" s="71">
        <f>IF(AND(Pay_Num&lt;&gt;"",Sched_Pay+Scheduled_Extra_Payments&lt;Beg_Bal),Scheduled_Extra_Payments,IF(AND(Pay_Num&lt;&gt;"",Beg_Bal-Sched_Pay&gt;0),Beg_Bal-Sched_Pay,IF(Pay_Num&lt;&gt;"",0,"")))</f>
        <v>0</v>
      </c>
      <c r="F282" s="70">
        <f>IF(AND(Pay_Num&lt;&gt;"",Sched_Pay+Extra_Pay&lt;Beg_Bal),Sched_Pay+Extra_Pay,IF(Pay_Num&lt;&gt;"",Beg_Bal,""))</f>
        <v>0</v>
      </c>
      <c r="G282" s="70">
        <f>IF(Pay_Num&lt;&gt;"",Total_Pay-Int,"")</f>
        <v>0</v>
      </c>
      <c r="H282" s="70">
        <f>IF(Pay_Num&lt;&gt;"",Beg_Bal*Interest_Rate/Num_Pmt_Per_Year,"")</f>
        <v>0</v>
      </c>
      <c r="I282" s="70">
        <f>IF(AND(Pay_Num&lt;&gt;"",Sched_Pay+Extra_Pay&lt;Beg_Bal),Beg_Bal-Princ,IF(Pay_Num&lt;&gt;"",0,""))</f>
        <v>0</v>
      </c>
      <c r="J282" s="70">
        <f>SUM($H$18:$H282)</f>
        <v>8041.5444282238004</v>
      </c>
    </row>
    <row r="283" spans="1:10" x14ac:dyDescent="0.3">
      <c r="A283" s="36">
        <f>IF(Values_Entered,A282+1,"")</f>
        <v>266</v>
      </c>
      <c r="B283" s="35">
        <f>IF(Pay_Num&lt;&gt;"",DATE(YEAR(Loan_Start),MONTH(Loan_Start)+(Pay_Num)*12/Num_Pmt_Per_Year,DAY(Loan_Start)),"")</f>
        <v>53479</v>
      </c>
      <c r="C283" s="70">
        <f>IF(Pay_Num&lt;&gt;"",I282,"")</f>
        <v>0</v>
      </c>
      <c r="D283" s="70">
        <f>IF(Pay_Num&lt;&gt;"",Scheduled_Monthly_Payment,"")</f>
        <v>2418.3976845093252</v>
      </c>
      <c r="E283" s="71">
        <f>IF(AND(Pay_Num&lt;&gt;"",Sched_Pay+Scheduled_Extra_Payments&lt;Beg_Bal),Scheduled_Extra_Payments,IF(AND(Pay_Num&lt;&gt;"",Beg_Bal-Sched_Pay&gt;0),Beg_Bal-Sched_Pay,IF(Pay_Num&lt;&gt;"",0,"")))</f>
        <v>0</v>
      </c>
      <c r="F283" s="70">
        <f>IF(AND(Pay_Num&lt;&gt;"",Sched_Pay+Extra_Pay&lt;Beg_Bal),Sched_Pay+Extra_Pay,IF(Pay_Num&lt;&gt;"",Beg_Bal,""))</f>
        <v>0</v>
      </c>
      <c r="G283" s="70">
        <f>IF(Pay_Num&lt;&gt;"",Total_Pay-Int,"")</f>
        <v>0</v>
      </c>
      <c r="H283" s="70">
        <f>IF(Pay_Num&lt;&gt;"",Beg_Bal*Interest_Rate/Num_Pmt_Per_Year,"")</f>
        <v>0</v>
      </c>
      <c r="I283" s="70">
        <f>IF(AND(Pay_Num&lt;&gt;"",Sched_Pay+Extra_Pay&lt;Beg_Bal),Beg_Bal-Princ,IF(Pay_Num&lt;&gt;"",0,""))</f>
        <v>0</v>
      </c>
      <c r="J283" s="70">
        <f>SUM($H$18:$H283)</f>
        <v>8041.5444282238004</v>
      </c>
    </row>
    <row r="284" spans="1:10" x14ac:dyDescent="0.3">
      <c r="A284" s="36">
        <f>IF(Values_Entered,A283+1,"")</f>
        <v>267</v>
      </c>
      <c r="B284" s="35">
        <f>IF(Pay_Num&lt;&gt;"",DATE(YEAR(Loan_Start),MONTH(Loan_Start)+(Pay_Num)*12/Num_Pmt_Per_Year,DAY(Loan_Start)),"")</f>
        <v>53509</v>
      </c>
      <c r="C284" s="70">
        <f>IF(Pay_Num&lt;&gt;"",I283,"")</f>
        <v>0</v>
      </c>
      <c r="D284" s="70">
        <f>IF(Pay_Num&lt;&gt;"",Scheduled_Monthly_Payment,"")</f>
        <v>2418.3976845093252</v>
      </c>
      <c r="E284" s="71">
        <f>IF(AND(Pay_Num&lt;&gt;"",Sched_Pay+Scheduled_Extra_Payments&lt;Beg_Bal),Scheduled_Extra_Payments,IF(AND(Pay_Num&lt;&gt;"",Beg_Bal-Sched_Pay&gt;0),Beg_Bal-Sched_Pay,IF(Pay_Num&lt;&gt;"",0,"")))</f>
        <v>0</v>
      </c>
      <c r="F284" s="70">
        <f>IF(AND(Pay_Num&lt;&gt;"",Sched_Pay+Extra_Pay&lt;Beg_Bal),Sched_Pay+Extra_Pay,IF(Pay_Num&lt;&gt;"",Beg_Bal,""))</f>
        <v>0</v>
      </c>
      <c r="G284" s="70">
        <f>IF(Pay_Num&lt;&gt;"",Total_Pay-Int,"")</f>
        <v>0</v>
      </c>
      <c r="H284" s="70">
        <f>IF(Pay_Num&lt;&gt;"",Beg_Bal*Interest_Rate/Num_Pmt_Per_Year,"")</f>
        <v>0</v>
      </c>
      <c r="I284" s="70">
        <f>IF(AND(Pay_Num&lt;&gt;"",Sched_Pay+Extra_Pay&lt;Beg_Bal),Beg_Bal-Princ,IF(Pay_Num&lt;&gt;"",0,""))</f>
        <v>0</v>
      </c>
      <c r="J284" s="70">
        <f>SUM($H$18:$H284)</f>
        <v>8041.5444282238004</v>
      </c>
    </row>
    <row r="285" spans="1:10" x14ac:dyDescent="0.3">
      <c r="A285" s="36">
        <f>IF(Values_Entered,A284+1,"")</f>
        <v>268</v>
      </c>
      <c r="B285" s="35">
        <f>IF(Pay_Num&lt;&gt;"",DATE(YEAR(Loan_Start),MONTH(Loan_Start)+(Pay_Num)*12/Num_Pmt_Per_Year,DAY(Loan_Start)),"")</f>
        <v>53540</v>
      </c>
      <c r="C285" s="70">
        <f>IF(Pay_Num&lt;&gt;"",I284,"")</f>
        <v>0</v>
      </c>
      <c r="D285" s="70">
        <f>IF(Pay_Num&lt;&gt;"",Scheduled_Monthly_Payment,"")</f>
        <v>2418.3976845093252</v>
      </c>
      <c r="E285" s="71">
        <f>IF(AND(Pay_Num&lt;&gt;"",Sched_Pay+Scheduled_Extra_Payments&lt;Beg_Bal),Scheduled_Extra_Payments,IF(AND(Pay_Num&lt;&gt;"",Beg_Bal-Sched_Pay&gt;0),Beg_Bal-Sched_Pay,IF(Pay_Num&lt;&gt;"",0,"")))</f>
        <v>0</v>
      </c>
      <c r="F285" s="70">
        <f>IF(AND(Pay_Num&lt;&gt;"",Sched_Pay+Extra_Pay&lt;Beg_Bal),Sched_Pay+Extra_Pay,IF(Pay_Num&lt;&gt;"",Beg_Bal,""))</f>
        <v>0</v>
      </c>
      <c r="G285" s="70">
        <f>IF(Pay_Num&lt;&gt;"",Total_Pay-Int,"")</f>
        <v>0</v>
      </c>
      <c r="H285" s="70">
        <f>IF(Pay_Num&lt;&gt;"",Beg_Bal*Interest_Rate/Num_Pmt_Per_Year,"")</f>
        <v>0</v>
      </c>
      <c r="I285" s="70">
        <f>IF(AND(Pay_Num&lt;&gt;"",Sched_Pay+Extra_Pay&lt;Beg_Bal),Beg_Bal-Princ,IF(Pay_Num&lt;&gt;"",0,""))</f>
        <v>0</v>
      </c>
      <c r="J285" s="70">
        <f>SUM($H$18:$H285)</f>
        <v>8041.5444282238004</v>
      </c>
    </row>
    <row r="286" spans="1:10" x14ac:dyDescent="0.3">
      <c r="A286" s="36">
        <f>IF(Values_Entered,A285+1,"")</f>
        <v>269</v>
      </c>
      <c r="B286" s="35">
        <f>IF(Pay_Num&lt;&gt;"",DATE(YEAR(Loan_Start),MONTH(Loan_Start)+(Pay_Num)*12/Num_Pmt_Per_Year,DAY(Loan_Start)),"")</f>
        <v>53571</v>
      </c>
      <c r="C286" s="70">
        <f>IF(Pay_Num&lt;&gt;"",I285,"")</f>
        <v>0</v>
      </c>
      <c r="D286" s="70">
        <f>IF(Pay_Num&lt;&gt;"",Scheduled_Monthly_Payment,"")</f>
        <v>2418.3976845093252</v>
      </c>
      <c r="E286" s="71">
        <f>IF(AND(Pay_Num&lt;&gt;"",Sched_Pay+Scheduled_Extra_Payments&lt;Beg_Bal),Scheduled_Extra_Payments,IF(AND(Pay_Num&lt;&gt;"",Beg_Bal-Sched_Pay&gt;0),Beg_Bal-Sched_Pay,IF(Pay_Num&lt;&gt;"",0,"")))</f>
        <v>0</v>
      </c>
      <c r="F286" s="70">
        <f>IF(AND(Pay_Num&lt;&gt;"",Sched_Pay+Extra_Pay&lt;Beg_Bal),Sched_Pay+Extra_Pay,IF(Pay_Num&lt;&gt;"",Beg_Bal,""))</f>
        <v>0</v>
      </c>
      <c r="G286" s="70">
        <f>IF(Pay_Num&lt;&gt;"",Total_Pay-Int,"")</f>
        <v>0</v>
      </c>
      <c r="H286" s="70">
        <f>IF(Pay_Num&lt;&gt;"",Beg_Bal*Interest_Rate/Num_Pmt_Per_Year,"")</f>
        <v>0</v>
      </c>
      <c r="I286" s="70">
        <f>IF(AND(Pay_Num&lt;&gt;"",Sched_Pay+Extra_Pay&lt;Beg_Bal),Beg_Bal-Princ,IF(Pay_Num&lt;&gt;"",0,""))</f>
        <v>0</v>
      </c>
      <c r="J286" s="70">
        <f>SUM($H$18:$H286)</f>
        <v>8041.5444282238004</v>
      </c>
    </row>
    <row r="287" spans="1:10" x14ac:dyDescent="0.3">
      <c r="A287" s="36">
        <f>IF(Values_Entered,A286+1,"")</f>
        <v>270</v>
      </c>
      <c r="B287" s="35">
        <f>IF(Pay_Num&lt;&gt;"",DATE(YEAR(Loan_Start),MONTH(Loan_Start)+(Pay_Num)*12/Num_Pmt_Per_Year,DAY(Loan_Start)),"")</f>
        <v>53601</v>
      </c>
      <c r="C287" s="70">
        <f>IF(Pay_Num&lt;&gt;"",I286,"")</f>
        <v>0</v>
      </c>
      <c r="D287" s="70">
        <f>IF(Pay_Num&lt;&gt;"",Scheduled_Monthly_Payment,"")</f>
        <v>2418.3976845093252</v>
      </c>
      <c r="E287" s="71">
        <f>IF(AND(Pay_Num&lt;&gt;"",Sched_Pay+Scheduled_Extra_Payments&lt;Beg_Bal),Scheduled_Extra_Payments,IF(AND(Pay_Num&lt;&gt;"",Beg_Bal-Sched_Pay&gt;0),Beg_Bal-Sched_Pay,IF(Pay_Num&lt;&gt;"",0,"")))</f>
        <v>0</v>
      </c>
      <c r="F287" s="70">
        <f>IF(AND(Pay_Num&lt;&gt;"",Sched_Pay+Extra_Pay&lt;Beg_Bal),Sched_Pay+Extra_Pay,IF(Pay_Num&lt;&gt;"",Beg_Bal,""))</f>
        <v>0</v>
      </c>
      <c r="G287" s="70">
        <f>IF(Pay_Num&lt;&gt;"",Total_Pay-Int,"")</f>
        <v>0</v>
      </c>
      <c r="H287" s="70">
        <f>IF(Pay_Num&lt;&gt;"",Beg_Bal*Interest_Rate/Num_Pmt_Per_Year,"")</f>
        <v>0</v>
      </c>
      <c r="I287" s="70">
        <f>IF(AND(Pay_Num&lt;&gt;"",Sched_Pay+Extra_Pay&lt;Beg_Bal),Beg_Bal-Princ,IF(Pay_Num&lt;&gt;"",0,""))</f>
        <v>0</v>
      </c>
      <c r="J287" s="70">
        <f>SUM($H$18:$H287)</f>
        <v>8041.5444282238004</v>
      </c>
    </row>
    <row r="288" spans="1:10" x14ac:dyDescent="0.3">
      <c r="A288" s="36">
        <f>IF(Values_Entered,A287+1,"")</f>
        <v>271</v>
      </c>
      <c r="B288" s="35">
        <f>IF(Pay_Num&lt;&gt;"",DATE(YEAR(Loan_Start),MONTH(Loan_Start)+(Pay_Num)*12/Num_Pmt_Per_Year,DAY(Loan_Start)),"")</f>
        <v>53632</v>
      </c>
      <c r="C288" s="70">
        <f>IF(Pay_Num&lt;&gt;"",I287,"")</f>
        <v>0</v>
      </c>
      <c r="D288" s="70">
        <f>IF(Pay_Num&lt;&gt;"",Scheduled_Monthly_Payment,"")</f>
        <v>2418.3976845093252</v>
      </c>
      <c r="E288" s="71">
        <f>IF(AND(Pay_Num&lt;&gt;"",Sched_Pay+Scheduled_Extra_Payments&lt;Beg_Bal),Scheduled_Extra_Payments,IF(AND(Pay_Num&lt;&gt;"",Beg_Bal-Sched_Pay&gt;0),Beg_Bal-Sched_Pay,IF(Pay_Num&lt;&gt;"",0,"")))</f>
        <v>0</v>
      </c>
      <c r="F288" s="70">
        <f>IF(AND(Pay_Num&lt;&gt;"",Sched_Pay+Extra_Pay&lt;Beg_Bal),Sched_Pay+Extra_Pay,IF(Pay_Num&lt;&gt;"",Beg_Bal,""))</f>
        <v>0</v>
      </c>
      <c r="G288" s="70">
        <f>IF(Pay_Num&lt;&gt;"",Total_Pay-Int,"")</f>
        <v>0</v>
      </c>
      <c r="H288" s="70">
        <f>IF(Pay_Num&lt;&gt;"",Beg_Bal*Interest_Rate/Num_Pmt_Per_Year,"")</f>
        <v>0</v>
      </c>
      <c r="I288" s="70">
        <f>IF(AND(Pay_Num&lt;&gt;"",Sched_Pay+Extra_Pay&lt;Beg_Bal),Beg_Bal-Princ,IF(Pay_Num&lt;&gt;"",0,""))</f>
        <v>0</v>
      </c>
      <c r="J288" s="70">
        <f>SUM($H$18:$H288)</f>
        <v>8041.5444282238004</v>
      </c>
    </row>
    <row r="289" spans="1:10" x14ac:dyDescent="0.3">
      <c r="A289" s="36">
        <f>IF(Values_Entered,A288+1,"")</f>
        <v>272</v>
      </c>
      <c r="B289" s="35">
        <f>IF(Pay_Num&lt;&gt;"",DATE(YEAR(Loan_Start),MONTH(Loan_Start)+(Pay_Num)*12/Num_Pmt_Per_Year,DAY(Loan_Start)),"")</f>
        <v>53662</v>
      </c>
      <c r="C289" s="70">
        <f>IF(Pay_Num&lt;&gt;"",I288,"")</f>
        <v>0</v>
      </c>
      <c r="D289" s="70">
        <f>IF(Pay_Num&lt;&gt;"",Scheduled_Monthly_Payment,"")</f>
        <v>2418.3976845093252</v>
      </c>
      <c r="E289" s="71">
        <f>IF(AND(Pay_Num&lt;&gt;"",Sched_Pay+Scheduled_Extra_Payments&lt;Beg_Bal),Scheduled_Extra_Payments,IF(AND(Pay_Num&lt;&gt;"",Beg_Bal-Sched_Pay&gt;0),Beg_Bal-Sched_Pay,IF(Pay_Num&lt;&gt;"",0,"")))</f>
        <v>0</v>
      </c>
      <c r="F289" s="70">
        <f>IF(AND(Pay_Num&lt;&gt;"",Sched_Pay+Extra_Pay&lt;Beg_Bal),Sched_Pay+Extra_Pay,IF(Pay_Num&lt;&gt;"",Beg_Bal,""))</f>
        <v>0</v>
      </c>
      <c r="G289" s="70">
        <f>IF(Pay_Num&lt;&gt;"",Total_Pay-Int,"")</f>
        <v>0</v>
      </c>
      <c r="H289" s="70">
        <f>IF(Pay_Num&lt;&gt;"",Beg_Bal*Interest_Rate/Num_Pmt_Per_Year,"")</f>
        <v>0</v>
      </c>
      <c r="I289" s="70">
        <f>IF(AND(Pay_Num&lt;&gt;"",Sched_Pay+Extra_Pay&lt;Beg_Bal),Beg_Bal-Princ,IF(Pay_Num&lt;&gt;"",0,""))</f>
        <v>0</v>
      </c>
      <c r="J289" s="70">
        <f>SUM($H$18:$H289)</f>
        <v>8041.5444282238004</v>
      </c>
    </row>
    <row r="290" spans="1:10" x14ac:dyDescent="0.3">
      <c r="A290" s="36">
        <f>IF(Values_Entered,A289+1,"")</f>
        <v>273</v>
      </c>
      <c r="B290" s="35">
        <f>IF(Pay_Num&lt;&gt;"",DATE(YEAR(Loan_Start),MONTH(Loan_Start)+(Pay_Num)*12/Num_Pmt_Per_Year,DAY(Loan_Start)),"")</f>
        <v>53693</v>
      </c>
      <c r="C290" s="70">
        <f>IF(Pay_Num&lt;&gt;"",I289,"")</f>
        <v>0</v>
      </c>
      <c r="D290" s="70">
        <f>IF(Pay_Num&lt;&gt;"",Scheduled_Monthly_Payment,"")</f>
        <v>2418.3976845093252</v>
      </c>
      <c r="E290" s="71">
        <f>IF(AND(Pay_Num&lt;&gt;"",Sched_Pay+Scheduled_Extra_Payments&lt;Beg_Bal),Scheduled_Extra_Payments,IF(AND(Pay_Num&lt;&gt;"",Beg_Bal-Sched_Pay&gt;0),Beg_Bal-Sched_Pay,IF(Pay_Num&lt;&gt;"",0,"")))</f>
        <v>0</v>
      </c>
      <c r="F290" s="70">
        <f>IF(AND(Pay_Num&lt;&gt;"",Sched_Pay+Extra_Pay&lt;Beg_Bal),Sched_Pay+Extra_Pay,IF(Pay_Num&lt;&gt;"",Beg_Bal,""))</f>
        <v>0</v>
      </c>
      <c r="G290" s="70">
        <f>IF(Pay_Num&lt;&gt;"",Total_Pay-Int,"")</f>
        <v>0</v>
      </c>
      <c r="H290" s="70">
        <f>IF(Pay_Num&lt;&gt;"",Beg_Bal*Interest_Rate/Num_Pmt_Per_Year,"")</f>
        <v>0</v>
      </c>
      <c r="I290" s="70">
        <f>IF(AND(Pay_Num&lt;&gt;"",Sched_Pay+Extra_Pay&lt;Beg_Bal),Beg_Bal-Princ,IF(Pay_Num&lt;&gt;"",0,""))</f>
        <v>0</v>
      </c>
      <c r="J290" s="70">
        <f>SUM($H$18:$H290)</f>
        <v>8041.5444282238004</v>
      </c>
    </row>
    <row r="291" spans="1:10" x14ac:dyDescent="0.3">
      <c r="A291" s="36">
        <f>IF(Values_Entered,A290+1,"")</f>
        <v>274</v>
      </c>
      <c r="B291" s="35">
        <f>IF(Pay_Num&lt;&gt;"",DATE(YEAR(Loan_Start),MONTH(Loan_Start)+(Pay_Num)*12/Num_Pmt_Per_Year,DAY(Loan_Start)),"")</f>
        <v>53724</v>
      </c>
      <c r="C291" s="70">
        <f>IF(Pay_Num&lt;&gt;"",I290,"")</f>
        <v>0</v>
      </c>
      <c r="D291" s="70">
        <f>IF(Pay_Num&lt;&gt;"",Scheduled_Monthly_Payment,"")</f>
        <v>2418.3976845093252</v>
      </c>
      <c r="E291" s="71">
        <f>IF(AND(Pay_Num&lt;&gt;"",Sched_Pay+Scheduled_Extra_Payments&lt;Beg_Bal),Scheduled_Extra_Payments,IF(AND(Pay_Num&lt;&gt;"",Beg_Bal-Sched_Pay&gt;0),Beg_Bal-Sched_Pay,IF(Pay_Num&lt;&gt;"",0,"")))</f>
        <v>0</v>
      </c>
      <c r="F291" s="70">
        <f>IF(AND(Pay_Num&lt;&gt;"",Sched_Pay+Extra_Pay&lt;Beg_Bal),Sched_Pay+Extra_Pay,IF(Pay_Num&lt;&gt;"",Beg_Bal,""))</f>
        <v>0</v>
      </c>
      <c r="G291" s="70">
        <f>IF(Pay_Num&lt;&gt;"",Total_Pay-Int,"")</f>
        <v>0</v>
      </c>
      <c r="H291" s="70">
        <f>IF(Pay_Num&lt;&gt;"",Beg_Bal*Interest_Rate/Num_Pmt_Per_Year,"")</f>
        <v>0</v>
      </c>
      <c r="I291" s="70">
        <f>IF(AND(Pay_Num&lt;&gt;"",Sched_Pay+Extra_Pay&lt;Beg_Bal),Beg_Bal-Princ,IF(Pay_Num&lt;&gt;"",0,""))</f>
        <v>0</v>
      </c>
      <c r="J291" s="70">
        <f>SUM($H$18:$H291)</f>
        <v>8041.5444282238004</v>
      </c>
    </row>
    <row r="292" spans="1:10" x14ac:dyDescent="0.3">
      <c r="A292" s="36">
        <f>IF(Values_Entered,A291+1,"")</f>
        <v>275</v>
      </c>
      <c r="B292" s="35">
        <f>IF(Pay_Num&lt;&gt;"",DATE(YEAR(Loan_Start),MONTH(Loan_Start)+(Pay_Num)*12/Num_Pmt_Per_Year,DAY(Loan_Start)),"")</f>
        <v>53752</v>
      </c>
      <c r="C292" s="70">
        <f>IF(Pay_Num&lt;&gt;"",I291,"")</f>
        <v>0</v>
      </c>
      <c r="D292" s="70">
        <f>IF(Pay_Num&lt;&gt;"",Scheduled_Monthly_Payment,"")</f>
        <v>2418.3976845093252</v>
      </c>
      <c r="E292" s="71">
        <f>IF(AND(Pay_Num&lt;&gt;"",Sched_Pay+Scheduled_Extra_Payments&lt;Beg_Bal),Scheduled_Extra_Payments,IF(AND(Pay_Num&lt;&gt;"",Beg_Bal-Sched_Pay&gt;0),Beg_Bal-Sched_Pay,IF(Pay_Num&lt;&gt;"",0,"")))</f>
        <v>0</v>
      </c>
      <c r="F292" s="70">
        <f>IF(AND(Pay_Num&lt;&gt;"",Sched_Pay+Extra_Pay&lt;Beg_Bal),Sched_Pay+Extra_Pay,IF(Pay_Num&lt;&gt;"",Beg_Bal,""))</f>
        <v>0</v>
      </c>
      <c r="G292" s="70">
        <f>IF(Pay_Num&lt;&gt;"",Total_Pay-Int,"")</f>
        <v>0</v>
      </c>
      <c r="H292" s="70">
        <f>IF(Pay_Num&lt;&gt;"",Beg_Bal*Interest_Rate/Num_Pmt_Per_Year,"")</f>
        <v>0</v>
      </c>
      <c r="I292" s="70">
        <f>IF(AND(Pay_Num&lt;&gt;"",Sched_Pay+Extra_Pay&lt;Beg_Bal),Beg_Bal-Princ,IF(Pay_Num&lt;&gt;"",0,""))</f>
        <v>0</v>
      </c>
      <c r="J292" s="70">
        <f>SUM($H$18:$H292)</f>
        <v>8041.5444282238004</v>
      </c>
    </row>
    <row r="293" spans="1:10" x14ac:dyDescent="0.3">
      <c r="A293" s="36">
        <f>IF(Values_Entered,A292+1,"")</f>
        <v>276</v>
      </c>
      <c r="B293" s="35">
        <f>IF(Pay_Num&lt;&gt;"",DATE(YEAR(Loan_Start),MONTH(Loan_Start)+(Pay_Num)*12/Num_Pmt_Per_Year,DAY(Loan_Start)),"")</f>
        <v>53783</v>
      </c>
      <c r="C293" s="70">
        <f>IF(Pay_Num&lt;&gt;"",I292,"")</f>
        <v>0</v>
      </c>
      <c r="D293" s="70">
        <f>IF(Pay_Num&lt;&gt;"",Scheduled_Monthly_Payment,"")</f>
        <v>2418.3976845093252</v>
      </c>
      <c r="E293" s="71">
        <f>IF(AND(Pay_Num&lt;&gt;"",Sched_Pay+Scheduled_Extra_Payments&lt;Beg_Bal),Scheduled_Extra_Payments,IF(AND(Pay_Num&lt;&gt;"",Beg_Bal-Sched_Pay&gt;0),Beg_Bal-Sched_Pay,IF(Pay_Num&lt;&gt;"",0,"")))</f>
        <v>0</v>
      </c>
      <c r="F293" s="70">
        <f>IF(AND(Pay_Num&lt;&gt;"",Sched_Pay+Extra_Pay&lt;Beg_Bal),Sched_Pay+Extra_Pay,IF(Pay_Num&lt;&gt;"",Beg_Bal,""))</f>
        <v>0</v>
      </c>
      <c r="G293" s="70">
        <f>IF(Pay_Num&lt;&gt;"",Total_Pay-Int,"")</f>
        <v>0</v>
      </c>
      <c r="H293" s="70">
        <f>IF(Pay_Num&lt;&gt;"",Beg_Bal*Interest_Rate/Num_Pmt_Per_Year,"")</f>
        <v>0</v>
      </c>
      <c r="I293" s="70">
        <f>IF(AND(Pay_Num&lt;&gt;"",Sched_Pay+Extra_Pay&lt;Beg_Bal),Beg_Bal-Princ,IF(Pay_Num&lt;&gt;"",0,""))</f>
        <v>0</v>
      </c>
      <c r="J293" s="70">
        <f>SUM($H$18:$H293)</f>
        <v>8041.5444282238004</v>
      </c>
    </row>
    <row r="294" spans="1:10" x14ac:dyDescent="0.3">
      <c r="A294" s="36">
        <f>IF(Values_Entered,A293+1,"")</f>
        <v>277</v>
      </c>
      <c r="B294" s="35">
        <f>IF(Pay_Num&lt;&gt;"",DATE(YEAR(Loan_Start),MONTH(Loan_Start)+(Pay_Num)*12/Num_Pmt_Per_Year,DAY(Loan_Start)),"")</f>
        <v>53813</v>
      </c>
      <c r="C294" s="70">
        <f>IF(Pay_Num&lt;&gt;"",I293,"")</f>
        <v>0</v>
      </c>
      <c r="D294" s="70">
        <f>IF(Pay_Num&lt;&gt;"",Scheduled_Monthly_Payment,"")</f>
        <v>2418.3976845093252</v>
      </c>
      <c r="E294" s="71">
        <f>IF(AND(Pay_Num&lt;&gt;"",Sched_Pay+Scheduled_Extra_Payments&lt;Beg_Bal),Scheduled_Extra_Payments,IF(AND(Pay_Num&lt;&gt;"",Beg_Bal-Sched_Pay&gt;0),Beg_Bal-Sched_Pay,IF(Pay_Num&lt;&gt;"",0,"")))</f>
        <v>0</v>
      </c>
      <c r="F294" s="70">
        <f>IF(AND(Pay_Num&lt;&gt;"",Sched_Pay+Extra_Pay&lt;Beg_Bal),Sched_Pay+Extra_Pay,IF(Pay_Num&lt;&gt;"",Beg_Bal,""))</f>
        <v>0</v>
      </c>
      <c r="G294" s="70">
        <f>IF(Pay_Num&lt;&gt;"",Total_Pay-Int,"")</f>
        <v>0</v>
      </c>
      <c r="H294" s="70">
        <f>IF(Pay_Num&lt;&gt;"",Beg_Bal*Interest_Rate/Num_Pmt_Per_Year,"")</f>
        <v>0</v>
      </c>
      <c r="I294" s="70">
        <f>IF(AND(Pay_Num&lt;&gt;"",Sched_Pay+Extra_Pay&lt;Beg_Bal),Beg_Bal-Princ,IF(Pay_Num&lt;&gt;"",0,""))</f>
        <v>0</v>
      </c>
      <c r="J294" s="70">
        <f>SUM($H$18:$H294)</f>
        <v>8041.5444282238004</v>
      </c>
    </row>
    <row r="295" spans="1:10" x14ac:dyDescent="0.3">
      <c r="A295" s="36">
        <f>IF(Values_Entered,A294+1,"")</f>
        <v>278</v>
      </c>
      <c r="B295" s="35">
        <f>IF(Pay_Num&lt;&gt;"",DATE(YEAR(Loan_Start),MONTH(Loan_Start)+(Pay_Num)*12/Num_Pmt_Per_Year,DAY(Loan_Start)),"")</f>
        <v>53844</v>
      </c>
      <c r="C295" s="70">
        <f>IF(Pay_Num&lt;&gt;"",I294,"")</f>
        <v>0</v>
      </c>
      <c r="D295" s="70">
        <f>IF(Pay_Num&lt;&gt;"",Scheduled_Monthly_Payment,"")</f>
        <v>2418.3976845093252</v>
      </c>
      <c r="E295" s="71">
        <f>IF(AND(Pay_Num&lt;&gt;"",Sched_Pay+Scheduled_Extra_Payments&lt;Beg_Bal),Scheduled_Extra_Payments,IF(AND(Pay_Num&lt;&gt;"",Beg_Bal-Sched_Pay&gt;0),Beg_Bal-Sched_Pay,IF(Pay_Num&lt;&gt;"",0,"")))</f>
        <v>0</v>
      </c>
      <c r="F295" s="70">
        <f>IF(AND(Pay_Num&lt;&gt;"",Sched_Pay+Extra_Pay&lt;Beg_Bal),Sched_Pay+Extra_Pay,IF(Pay_Num&lt;&gt;"",Beg_Bal,""))</f>
        <v>0</v>
      </c>
      <c r="G295" s="70">
        <f>IF(Pay_Num&lt;&gt;"",Total_Pay-Int,"")</f>
        <v>0</v>
      </c>
      <c r="H295" s="70">
        <f>IF(Pay_Num&lt;&gt;"",Beg_Bal*Interest_Rate/Num_Pmt_Per_Year,"")</f>
        <v>0</v>
      </c>
      <c r="I295" s="70">
        <f>IF(AND(Pay_Num&lt;&gt;"",Sched_Pay+Extra_Pay&lt;Beg_Bal),Beg_Bal-Princ,IF(Pay_Num&lt;&gt;"",0,""))</f>
        <v>0</v>
      </c>
      <c r="J295" s="70">
        <f>SUM($H$18:$H295)</f>
        <v>8041.5444282238004</v>
      </c>
    </row>
    <row r="296" spans="1:10" x14ac:dyDescent="0.3">
      <c r="A296" s="36">
        <f>IF(Values_Entered,A295+1,"")</f>
        <v>279</v>
      </c>
      <c r="B296" s="35">
        <f>IF(Pay_Num&lt;&gt;"",DATE(YEAR(Loan_Start),MONTH(Loan_Start)+(Pay_Num)*12/Num_Pmt_Per_Year,DAY(Loan_Start)),"")</f>
        <v>53874</v>
      </c>
      <c r="C296" s="70">
        <f>IF(Pay_Num&lt;&gt;"",I295,"")</f>
        <v>0</v>
      </c>
      <c r="D296" s="70">
        <f>IF(Pay_Num&lt;&gt;"",Scheduled_Monthly_Payment,"")</f>
        <v>2418.3976845093252</v>
      </c>
      <c r="E296" s="71">
        <f>IF(AND(Pay_Num&lt;&gt;"",Sched_Pay+Scheduled_Extra_Payments&lt;Beg_Bal),Scheduled_Extra_Payments,IF(AND(Pay_Num&lt;&gt;"",Beg_Bal-Sched_Pay&gt;0),Beg_Bal-Sched_Pay,IF(Pay_Num&lt;&gt;"",0,"")))</f>
        <v>0</v>
      </c>
      <c r="F296" s="70">
        <f>IF(AND(Pay_Num&lt;&gt;"",Sched_Pay+Extra_Pay&lt;Beg_Bal),Sched_Pay+Extra_Pay,IF(Pay_Num&lt;&gt;"",Beg_Bal,""))</f>
        <v>0</v>
      </c>
      <c r="G296" s="70">
        <f>IF(Pay_Num&lt;&gt;"",Total_Pay-Int,"")</f>
        <v>0</v>
      </c>
      <c r="H296" s="70">
        <f>IF(Pay_Num&lt;&gt;"",Beg_Bal*Interest_Rate/Num_Pmt_Per_Year,"")</f>
        <v>0</v>
      </c>
      <c r="I296" s="70">
        <f>IF(AND(Pay_Num&lt;&gt;"",Sched_Pay+Extra_Pay&lt;Beg_Bal),Beg_Bal-Princ,IF(Pay_Num&lt;&gt;"",0,""))</f>
        <v>0</v>
      </c>
      <c r="J296" s="70">
        <f>SUM($H$18:$H296)</f>
        <v>8041.5444282238004</v>
      </c>
    </row>
    <row r="297" spans="1:10" x14ac:dyDescent="0.3">
      <c r="A297" s="36">
        <f>IF(Values_Entered,A296+1,"")</f>
        <v>280</v>
      </c>
      <c r="B297" s="35">
        <f>IF(Pay_Num&lt;&gt;"",DATE(YEAR(Loan_Start),MONTH(Loan_Start)+(Pay_Num)*12/Num_Pmt_Per_Year,DAY(Loan_Start)),"")</f>
        <v>53905</v>
      </c>
      <c r="C297" s="70">
        <f>IF(Pay_Num&lt;&gt;"",I296,"")</f>
        <v>0</v>
      </c>
      <c r="D297" s="70">
        <f>IF(Pay_Num&lt;&gt;"",Scheduled_Monthly_Payment,"")</f>
        <v>2418.3976845093252</v>
      </c>
      <c r="E297" s="71">
        <f>IF(AND(Pay_Num&lt;&gt;"",Sched_Pay+Scheduled_Extra_Payments&lt;Beg_Bal),Scheduled_Extra_Payments,IF(AND(Pay_Num&lt;&gt;"",Beg_Bal-Sched_Pay&gt;0),Beg_Bal-Sched_Pay,IF(Pay_Num&lt;&gt;"",0,"")))</f>
        <v>0</v>
      </c>
      <c r="F297" s="70">
        <f>IF(AND(Pay_Num&lt;&gt;"",Sched_Pay+Extra_Pay&lt;Beg_Bal),Sched_Pay+Extra_Pay,IF(Pay_Num&lt;&gt;"",Beg_Bal,""))</f>
        <v>0</v>
      </c>
      <c r="G297" s="70">
        <f>IF(Pay_Num&lt;&gt;"",Total_Pay-Int,"")</f>
        <v>0</v>
      </c>
      <c r="H297" s="70">
        <f>IF(Pay_Num&lt;&gt;"",Beg_Bal*Interest_Rate/Num_Pmt_Per_Year,"")</f>
        <v>0</v>
      </c>
      <c r="I297" s="70">
        <f>IF(AND(Pay_Num&lt;&gt;"",Sched_Pay+Extra_Pay&lt;Beg_Bal),Beg_Bal-Princ,IF(Pay_Num&lt;&gt;"",0,""))</f>
        <v>0</v>
      </c>
      <c r="J297" s="70">
        <f>SUM($H$18:$H297)</f>
        <v>8041.5444282238004</v>
      </c>
    </row>
    <row r="298" spans="1:10" x14ac:dyDescent="0.3">
      <c r="A298" s="36">
        <f>IF(Values_Entered,A297+1,"")</f>
        <v>281</v>
      </c>
      <c r="B298" s="35">
        <f>IF(Pay_Num&lt;&gt;"",DATE(YEAR(Loan_Start),MONTH(Loan_Start)+(Pay_Num)*12/Num_Pmt_Per_Year,DAY(Loan_Start)),"")</f>
        <v>53936</v>
      </c>
      <c r="C298" s="70">
        <f>IF(Pay_Num&lt;&gt;"",I297,"")</f>
        <v>0</v>
      </c>
      <c r="D298" s="70">
        <f>IF(Pay_Num&lt;&gt;"",Scheduled_Monthly_Payment,"")</f>
        <v>2418.3976845093252</v>
      </c>
      <c r="E298" s="71">
        <f>IF(AND(Pay_Num&lt;&gt;"",Sched_Pay+Scheduled_Extra_Payments&lt;Beg_Bal),Scheduled_Extra_Payments,IF(AND(Pay_Num&lt;&gt;"",Beg_Bal-Sched_Pay&gt;0),Beg_Bal-Sched_Pay,IF(Pay_Num&lt;&gt;"",0,"")))</f>
        <v>0</v>
      </c>
      <c r="F298" s="70">
        <f>IF(AND(Pay_Num&lt;&gt;"",Sched_Pay+Extra_Pay&lt;Beg_Bal),Sched_Pay+Extra_Pay,IF(Pay_Num&lt;&gt;"",Beg_Bal,""))</f>
        <v>0</v>
      </c>
      <c r="G298" s="70">
        <f>IF(Pay_Num&lt;&gt;"",Total_Pay-Int,"")</f>
        <v>0</v>
      </c>
      <c r="H298" s="70">
        <f>IF(Pay_Num&lt;&gt;"",Beg_Bal*Interest_Rate/Num_Pmt_Per_Year,"")</f>
        <v>0</v>
      </c>
      <c r="I298" s="70">
        <f>IF(AND(Pay_Num&lt;&gt;"",Sched_Pay+Extra_Pay&lt;Beg_Bal),Beg_Bal-Princ,IF(Pay_Num&lt;&gt;"",0,""))</f>
        <v>0</v>
      </c>
      <c r="J298" s="70">
        <f>SUM($H$18:$H298)</f>
        <v>8041.5444282238004</v>
      </c>
    </row>
    <row r="299" spans="1:10" x14ac:dyDescent="0.3">
      <c r="A299" s="36">
        <f>IF(Values_Entered,A298+1,"")</f>
        <v>282</v>
      </c>
      <c r="B299" s="35">
        <f>IF(Pay_Num&lt;&gt;"",DATE(YEAR(Loan_Start),MONTH(Loan_Start)+(Pay_Num)*12/Num_Pmt_Per_Year,DAY(Loan_Start)),"")</f>
        <v>53966</v>
      </c>
      <c r="C299" s="70">
        <f>IF(Pay_Num&lt;&gt;"",I298,"")</f>
        <v>0</v>
      </c>
      <c r="D299" s="70">
        <f>IF(Pay_Num&lt;&gt;"",Scheduled_Monthly_Payment,"")</f>
        <v>2418.3976845093252</v>
      </c>
      <c r="E299" s="71">
        <f>IF(AND(Pay_Num&lt;&gt;"",Sched_Pay+Scheduled_Extra_Payments&lt;Beg_Bal),Scheduled_Extra_Payments,IF(AND(Pay_Num&lt;&gt;"",Beg_Bal-Sched_Pay&gt;0),Beg_Bal-Sched_Pay,IF(Pay_Num&lt;&gt;"",0,"")))</f>
        <v>0</v>
      </c>
      <c r="F299" s="70">
        <f>IF(AND(Pay_Num&lt;&gt;"",Sched_Pay+Extra_Pay&lt;Beg_Bal),Sched_Pay+Extra_Pay,IF(Pay_Num&lt;&gt;"",Beg_Bal,""))</f>
        <v>0</v>
      </c>
      <c r="G299" s="70">
        <f>IF(Pay_Num&lt;&gt;"",Total_Pay-Int,"")</f>
        <v>0</v>
      </c>
      <c r="H299" s="70">
        <f>IF(Pay_Num&lt;&gt;"",Beg_Bal*Interest_Rate/Num_Pmt_Per_Year,"")</f>
        <v>0</v>
      </c>
      <c r="I299" s="70">
        <f>IF(AND(Pay_Num&lt;&gt;"",Sched_Pay+Extra_Pay&lt;Beg_Bal),Beg_Bal-Princ,IF(Pay_Num&lt;&gt;"",0,""))</f>
        <v>0</v>
      </c>
      <c r="J299" s="70">
        <f>SUM($H$18:$H299)</f>
        <v>8041.5444282238004</v>
      </c>
    </row>
    <row r="300" spans="1:10" x14ac:dyDescent="0.3">
      <c r="A300" s="36">
        <f>IF(Values_Entered,A299+1,"")</f>
        <v>283</v>
      </c>
      <c r="B300" s="35">
        <f>IF(Pay_Num&lt;&gt;"",DATE(YEAR(Loan_Start),MONTH(Loan_Start)+(Pay_Num)*12/Num_Pmt_Per_Year,DAY(Loan_Start)),"")</f>
        <v>53997</v>
      </c>
      <c r="C300" s="70">
        <f>IF(Pay_Num&lt;&gt;"",I299,"")</f>
        <v>0</v>
      </c>
      <c r="D300" s="70">
        <f>IF(Pay_Num&lt;&gt;"",Scheduled_Monthly_Payment,"")</f>
        <v>2418.3976845093252</v>
      </c>
      <c r="E300" s="71">
        <f>IF(AND(Pay_Num&lt;&gt;"",Sched_Pay+Scheduled_Extra_Payments&lt;Beg_Bal),Scheduled_Extra_Payments,IF(AND(Pay_Num&lt;&gt;"",Beg_Bal-Sched_Pay&gt;0),Beg_Bal-Sched_Pay,IF(Pay_Num&lt;&gt;"",0,"")))</f>
        <v>0</v>
      </c>
      <c r="F300" s="70">
        <f>IF(AND(Pay_Num&lt;&gt;"",Sched_Pay+Extra_Pay&lt;Beg_Bal),Sched_Pay+Extra_Pay,IF(Pay_Num&lt;&gt;"",Beg_Bal,""))</f>
        <v>0</v>
      </c>
      <c r="G300" s="70">
        <f>IF(Pay_Num&lt;&gt;"",Total_Pay-Int,"")</f>
        <v>0</v>
      </c>
      <c r="H300" s="70">
        <f>IF(Pay_Num&lt;&gt;"",Beg_Bal*Interest_Rate/Num_Pmt_Per_Year,"")</f>
        <v>0</v>
      </c>
      <c r="I300" s="70">
        <f>IF(AND(Pay_Num&lt;&gt;"",Sched_Pay+Extra_Pay&lt;Beg_Bal),Beg_Bal-Princ,IF(Pay_Num&lt;&gt;"",0,""))</f>
        <v>0</v>
      </c>
      <c r="J300" s="70">
        <f>SUM($H$18:$H300)</f>
        <v>8041.5444282238004</v>
      </c>
    </row>
    <row r="301" spans="1:10" x14ac:dyDescent="0.3">
      <c r="A301" s="36">
        <f>IF(Values_Entered,A300+1,"")</f>
        <v>284</v>
      </c>
      <c r="B301" s="35">
        <f>IF(Pay_Num&lt;&gt;"",DATE(YEAR(Loan_Start),MONTH(Loan_Start)+(Pay_Num)*12/Num_Pmt_Per_Year,DAY(Loan_Start)),"")</f>
        <v>54027</v>
      </c>
      <c r="C301" s="70">
        <f>IF(Pay_Num&lt;&gt;"",I300,"")</f>
        <v>0</v>
      </c>
      <c r="D301" s="70">
        <f>IF(Pay_Num&lt;&gt;"",Scheduled_Monthly_Payment,"")</f>
        <v>2418.3976845093252</v>
      </c>
      <c r="E301" s="71">
        <f>IF(AND(Pay_Num&lt;&gt;"",Sched_Pay+Scheduled_Extra_Payments&lt;Beg_Bal),Scheduled_Extra_Payments,IF(AND(Pay_Num&lt;&gt;"",Beg_Bal-Sched_Pay&gt;0),Beg_Bal-Sched_Pay,IF(Pay_Num&lt;&gt;"",0,"")))</f>
        <v>0</v>
      </c>
      <c r="F301" s="70">
        <f>IF(AND(Pay_Num&lt;&gt;"",Sched_Pay+Extra_Pay&lt;Beg_Bal),Sched_Pay+Extra_Pay,IF(Pay_Num&lt;&gt;"",Beg_Bal,""))</f>
        <v>0</v>
      </c>
      <c r="G301" s="70">
        <f>IF(Pay_Num&lt;&gt;"",Total_Pay-Int,"")</f>
        <v>0</v>
      </c>
      <c r="H301" s="70">
        <f>IF(Pay_Num&lt;&gt;"",Beg_Bal*Interest_Rate/Num_Pmt_Per_Year,"")</f>
        <v>0</v>
      </c>
      <c r="I301" s="70">
        <f>IF(AND(Pay_Num&lt;&gt;"",Sched_Pay+Extra_Pay&lt;Beg_Bal),Beg_Bal-Princ,IF(Pay_Num&lt;&gt;"",0,""))</f>
        <v>0</v>
      </c>
      <c r="J301" s="70">
        <f>SUM($H$18:$H301)</f>
        <v>8041.5444282238004</v>
      </c>
    </row>
    <row r="302" spans="1:10" x14ac:dyDescent="0.3">
      <c r="A302" s="36">
        <f>IF(Values_Entered,A301+1,"")</f>
        <v>285</v>
      </c>
      <c r="B302" s="35">
        <f>IF(Pay_Num&lt;&gt;"",DATE(YEAR(Loan_Start),MONTH(Loan_Start)+(Pay_Num)*12/Num_Pmt_Per_Year,DAY(Loan_Start)),"")</f>
        <v>54058</v>
      </c>
      <c r="C302" s="70">
        <f>IF(Pay_Num&lt;&gt;"",I301,"")</f>
        <v>0</v>
      </c>
      <c r="D302" s="70">
        <f>IF(Pay_Num&lt;&gt;"",Scheduled_Monthly_Payment,"")</f>
        <v>2418.3976845093252</v>
      </c>
      <c r="E302" s="71">
        <f>IF(AND(Pay_Num&lt;&gt;"",Sched_Pay+Scheduled_Extra_Payments&lt;Beg_Bal),Scheduled_Extra_Payments,IF(AND(Pay_Num&lt;&gt;"",Beg_Bal-Sched_Pay&gt;0),Beg_Bal-Sched_Pay,IF(Pay_Num&lt;&gt;"",0,"")))</f>
        <v>0</v>
      </c>
      <c r="F302" s="70">
        <f>IF(AND(Pay_Num&lt;&gt;"",Sched_Pay+Extra_Pay&lt;Beg_Bal),Sched_Pay+Extra_Pay,IF(Pay_Num&lt;&gt;"",Beg_Bal,""))</f>
        <v>0</v>
      </c>
      <c r="G302" s="70">
        <f>IF(Pay_Num&lt;&gt;"",Total_Pay-Int,"")</f>
        <v>0</v>
      </c>
      <c r="H302" s="70">
        <f>IF(Pay_Num&lt;&gt;"",Beg_Bal*Interest_Rate/Num_Pmt_Per_Year,"")</f>
        <v>0</v>
      </c>
      <c r="I302" s="70">
        <f>IF(AND(Pay_Num&lt;&gt;"",Sched_Pay+Extra_Pay&lt;Beg_Bal),Beg_Bal-Princ,IF(Pay_Num&lt;&gt;"",0,""))</f>
        <v>0</v>
      </c>
      <c r="J302" s="70">
        <f>SUM($H$18:$H302)</f>
        <v>8041.5444282238004</v>
      </c>
    </row>
    <row r="303" spans="1:10" x14ac:dyDescent="0.3">
      <c r="A303" s="36">
        <f>IF(Values_Entered,A302+1,"")</f>
        <v>286</v>
      </c>
      <c r="B303" s="35">
        <f>IF(Pay_Num&lt;&gt;"",DATE(YEAR(Loan_Start),MONTH(Loan_Start)+(Pay_Num)*12/Num_Pmt_Per_Year,DAY(Loan_Start)),"")</f>
        <v>54089</v>
      </c>
      <c r="C303" s="70">
        <f>IF(Pay_Num&lt;&gt;"",I302,"")</f>
        <v>0</v>
      </c>
      <c r="D303" s="70">
        <f>IF(Pay_Num&lt;&gt;"",Scheduled_Monthly_Payment,"")</f>
        <v>2418.3976845093252</v>
      </c>
      <c r="E303" s="71">
        <f>IF(AND(Pay_Num&lt;&gt;"",Sched_Pay+Scheduled_Extra_Payments&lt;Beg_Bal),Scheduled_Extra_Payments,IF(AND(Pay_Num&lt;&gt;"",Beg_Bal-Sched_Pay&gt;0),Beg_Bal-Sched_Pay,IF(Pay_Num&lt;&gt;"",0,"")))</f>
        <v>0</v>
      </c>
      <c r="F303" s="70">
        <f>IF(AND(Pay_Num&lt;&gt;"",Sched_Pay+Extra_Pay&lt;Beg_Bal),Sched_Pay+Extra_Pay,IF(Pay_Num&lt;&gt;"",Beg_Bal,""))</f>
        <v>0</v>
      </c>
      <c r="G303" s="70">
        <f>IF(Pay_Num&lt;&gt;"",Total_Pay-Int,"")</f>
        <v>0</v>
      </c>
      <c r="H303" s="70">
        <f>IF(Pay_Num&lt;&gt;"",Beg_Bal*Interest_Rate/Num_Pmt_Per_Year,"")</f>
        <v>0</v>
      </c>
      <c r="I303" s="70">
        <f>IF(AND(Pay_Num&lt;&gt;"",Sched_Pay+Extra_Pay&lt;Beg_Bal),Beg_Bal-Princ,IF(Pay_Num&lt;&gt;"",0,""))</f>
        <v>0</v>
      </c>
      <c r="J303" s="70">
        <f>SUM($H$18:$H303)</f>
        <v>8041.5444282238004</v>
      </c>
    </row>
    <row r="304" spans="1:10" x14ac:dyDescent="0.3">
      <c r="A304" s="36">
        <f>IF(Values_Entered,A303+1,"")</f>
        <v>287</v>
      </c>
      <c r="B304" s="35">
        <f>IF(Pay_Num&lt;&gt;"",DATE(YEAR(Loan_Start),MONTH(Loan_Start)+(Pay_Num)*12/Num_Pmt_Per_Year,DAY(Loan_Start)),"")</f>
        <v>54118</v>
      </c>
      <c r="C304" s="70">
        <f>IF(Pay_Num&lt;&gt;"",I303,"")</f>
        <v>0</v>
      </c>
      <c r="D304" s="70">
        <f>IF(Pay_Num&lt;&gt;"",Scheduled_Monthly_Payment,"")</f>
        <v>2418.3976845093252</v>
      </c>
      <c r="E304" s="71">
        <f>IF(AND(Pay_Num&lt;&gt;"",Sched_Pay+Scheduled_Extra_Payments&lt;Beg_Bal),Scheduled_Extra_Payments,IF(AND(Pay_Num&lt;&gt;"",Beg_Bal-Sched_Pay&gt;0),Beg_Bal-Sched_Pay,IF(Pay_Num&lt;&gt;"",0,"")))</f>
        <v>0</v>
      </c>
      <c r="F304" s="70">
        <f>IF(AND(Pay_Num&lt;&gt;"",Sched_Pay+Extra_Pay&lt;Beg_Bal),Sched_Pay+Extra_Pay,IF(Pay_Num&lt;&gt;"",Beg_Bal,""))</f>
        <v>0</v>
      </c>
      <c r="G304" s="70">
        <f>IF(Pay_Num&lt;&gt;"",Total_Pay-Int,"")</f>
        <v>0</v>
      </c>
      <c r="H304" s="70">
        <f>IF(Pay_Num&lt;&gt;"",Beg_Bal*Interest_Rate/Num_Pmt_Per_Year,"")</f>
        <v>0</v>
      </c>
      <c r="I304" s="70">
        <f>IF(AND(Pay_Num&lt;&gt;"",Sched_Pay+Extra_Pay&lt;Beg_Bal),Beg_Bal-Princ,IF(Pay_Num&lt;&gt;"",0,""))</f>
        <v>0</v>
      </c>
      <c r="J304" s="70">
        <f>SUM($H$18:$H304)</f>
        <v>8041.5444282238004</v>
      </c>
    </row>
    <row r="305" spans="1:10" x14ac:dyDescent="0.3">
      <c r="A305" s="36">
        <f>IF(Values_Entered,A304+1,"")</f>
        <v>288</v>
      </c>
      <c r="B305" s="35">
        <f>IF(Pay_Num&lt;&gt;"",DATE(YEAR(Loan_Start),MONTH(Loan_Start)+(Pay_Num)*12/Num_Pmt_Per_Year,DAY(Loan_Start)),"")</f>
        <v>54149</v>
      </c>
      <c r="C305" s="70">
        <f>IF(Pay_Num&lt;&gt;"",I304,"")</f>
        <v>0</v>
      </c>
      <c r="D305" s="70">
        <f>IF(Pay_Num&lt;&gt;"",Scheduled_Monthly_Payment,"")</f>
        <v>2418.3976845093252</v>
      </c>
      <c r="E305" s="71">
        <f>IF(AND(Pay_Num&lt;&gt;"",Sched_Pay+Scheduled_Extra_Payments&lt;Beg_Bal),Scheduled_Extra_Payments,IF(AND(Pay_Num&lt;&gt;"",Beg_Bal-Sched_Pay&gt;0),Beg_Bal-Sched_Pay,IF(Pay_Num&lt;&gt;"",0,"")))</f>
        <v>0</v>
      </c>
      <c r="F305" s="70">
        <f>IF(AND(Pay_Num&lt;&gt;"",Sched_Pay+Extra_Pay&lt;Beg_Bal),Sched_Pay+Extra_Pay,IF(Pay_Num&lt;&gt;"",Beg_Bal,""))</f>
        <v>0</v>
      </c>
      <c r="G305" s="70">
        <f>IF(Pay_Num&lt;&gt;"",Total_Pay-Int,"")</f>
        <v>0</v>
      </c>
      <c r="H305" s="70">
        <f>IF(Pay_Num&lt;&gt;"",Beg_Bal*Interest_Rate/Num_Pmt_Per_Year,"")</f>
        <v>0</v>
      </c>
      <c r="I305" s="70">
        <f>IF(AND(Pay_Num&lt;&gt;"",Sched_Pay+Extra_Pay&lt;Beg_Bal),Beg_Bal-Princ,IF(Pay_Num&lt;&gt;"",0,""))</f>
        <v>0</v>
      </c>
      <c r="J305" s="70">
        <f>SUM($H$18:$H305)</f>
        <v>8041.5444282238004</v>
      </c>
    </row>
    <row r="306" spans="1:10" x14ac:dyDescent="0.3">
      <c r="A306" s="36">
        <f>IF(Values_Entered,A305+1,"")</f>
        <v>289</v>
      </c>
      <c r="B306" s="35">
        <f>IF(Pay_Num&lt;&gt;"",DATE(YEAR(Loan_Start),MONTH(Loan_Start)+(Pay_Num)*12/Num_Pmt_Per_Year,DAY(Loan_Start)),"")</f>
        <v>54179</v>
      </c>
      <c r="C306" s="70">
        <f>IF(Pay_Num&lt;&gt;"",I305,"")</f>
        <v>0</v>
      </c>
      <c r="D306" s="70">
        <f>IF(Pay_Num&lt;&gt;"",Scheduled_Monthly_Payment,"")</f>
        <v>2418.3976845093252</v>
      </c>
      <c r="E306" s="71">
        <f>IF(AND(Pay_Num&lt;&gt;"",Sched_Pay+Scheduled_Extra_Payments&lt;Beg_Bal),Scheduled_Extra_Payments,IF(AND(Pay_Num&lt;&gt;"",Beg_Bal-Sched_Pay&gt;0),Beg_Bal-Sched_Pay,IF(Pay_Num&lt;&gt;"",0,"")))</f>
        <v>0</v>
      </c>
      <c r="F306" s="70">
        <f>IF(AND(Pay_Num&lt;&gt;"",Sched_Pay+Extra_Pay&lt;Beg_Bal),Sched_Pay+Extra_Pay,IF(Pay_Num&lt;&gt;"",Beg_Bal,""))</f>
        <v>0</v>
      </c>
      <c r="G306" s="70">
        <f>IF(Pay_Num&lt;&gt;"",Total_Pay-Int,"")</f>
        <v>0</v>
      </c>
      <c r="H306" s="70">
        <f>IF(Pay_Num&lt;&gt;"",Beg_Bal*Interest_Rate/Num_Pmt_Per_Year,"")</f>
        <v>0</v>
      </c>
      <c r="I306" s="70">
        <f>IF(AND(Pay_Num&lt;&gt;"",Sched_Pay+Extra_Pay&lt;Beg_Bal),Beg_Bal-Princ,IF(Pay_Num&lt;&gt;"",0,""))</f>
        <v>0</v>
      </c>
      <c r="J306" s="70">
        <f>SUM($H$18:$H306)</f>
        <v>8041.5444282238004</v>
      </c>
    </row>
    <row r="307" spans="1:10" x14ac:dyDescent="0.3">
      <c r="A307" s="36">
        <f>IF(Values_Entered,A306+1,"")</f>
        <v>290</v>
      </c>
      <c r="B307" s="35">
        <f>IF(Pay_Num&lt;&gt;"",DATE(YEAR(Loan_Start),MONTH(Loan_Start)+(Pay_Num)*12/Num_Pmt_Per_Year,DAY(Loan_Start)),"")</f>
        <v>54210</v>
      </c>
      <c r="C307" s="70">
        <f>IF(Pay_Num&lt;&gt;"",I306,"")</f>
        <v>0</v>
      </c>
      <c r="D307" s="70">
        <f>IF(Pay_Num&lt;&gt;"",Scheduled_Monthly_Payment,"")</f>
        <v>2418.3976845093252</v>
      </c>
      <c r="E307" s="71">
        <f>IF(AND(Pay_Num&lt;&gt;"",Sched_Pay+Scheduled_Extra_Payments&lt;Beg_Bal),Scheduled_Extra_Payments,IF(AND(Pay_Num&lt;&gt;"",Beg_Bal-Sched_Pay&gt;0),Beg_Bal-Sched_Pay,IF(Pay_Num&lt;&gt;"",0,"")))</f>
        <v>0</v>
      </c>
      <c r="F307" s="70">
        <f>IF(AND(Pay_Num&lt;&gt;"",Sched_Pay+Extra_Pay&lt;Beg_Bal),Sched_Pay+Extra_Pay,IF(Pay_Num&lt;&gt;"",Beg_Bal,""))</f>
        <v>0</v>
      </c>
      <c r="G307" s="70">
        <f>IF(Pay_Num&lt;&gt;"",Total_Pay-Int,"")</f>
        <v>0</v>
      </c>
      <c r="H307" s="70">
        <f>IF(Pay_Num&lt;&gt;"",Beg_Bal*Interest_Rate/Num_Pmt_Per_Year,"")</f>
        <v>0</v>
      </c>
      <c r="I307" s="70">
        <f>IF(AND(Pay_Num&lt;&gt;"",Sched_Pay+Extra_Pay&lt;Beg_Bal),Beg_Bal-Princ,IF(Pay_Num&lt;&gt;"",0,""))</f>
        <v>0</v>
      </c>
      <c r="J307" s="70">
        <f>SUM($H$18:$H307)</f>
        <v>8041.5444282238004</v>
      </c>
    </row>
    <row r="308" spans="1:10" x14ac:dyDescent="0.3">
      <c r="A308" s="36">
        <f>IF(Values_Entered,A307+1,"")</f>
        <v>291</v>
      </c>
      <c r="B308" s="35">
        <f>IF(Pay_Num&lt;&gt;"",DATE(YEAR(Loan_Start),MONTH(Loan_Start)+(Pay_Num)*12/Num_Pmt_Per_Year,DAY(Loan_Start)),"")</f>
        <v>54240</v>
      </c>
      <c r="C308" s="70">
        <f>IF(Pay_Num&lt;&gt;"",I307,"")</f>
        <v>0</v>
      </c>
      <c r="D308" s="70">
        <f>IF(Pay_Num&lt;&gt;"",Scheduled_Monthly_Payment,"")</f>
        <v>2418.3976845093252</v>
      </c>
      <c r="E308" s="71">
        <f>IF(AND(Pay_Num&lt;&gt;"",Sched_Pay+Scheduled_Extra_Payments&lt;Beg_Bal),Scheduled_Extra_Payments,IF(AND(Pay_Num&lt;&gt;"",Beg_Bal-Sched_Pay&gt;0),Beg_Bal-Sched_Pay,IF(Pay_Num&lt;&gt;"",0,"")))</f>
        <v>0</v>
      </c>
      <c r="F308" s="70">
        <f>IF(AND(Pay_Num&lt;&gt;"",Sched_Pay+Extra_Pay&lt;Beg_Bal),Sched_Pay+Extra_Pay,IF(Pay_Num&lt;&gt;"",Beg_Bal,""))</f>
        <v>0</v>
      </c>
      <c r="G308" s="70">
        <f>IF(Pay_Num&lt;&gt;"",Total_Pay-Int,"")</f>
        <v>0</v>
      </c>
      <c r="H308" s="70">
        <f>IF(Pay_Num&lt;&gt;"",Beg_Bal*Interest_Rate/Num_Pmt_Per_Year,"")</f>
        <v>0</v>
      </c>
      <c r="I308" s="70">
        <f>IF(AND(Pay_Num&lt;&gt;"",Sched_Pay+Extra_Pay&lt;Beg_Bal),Beg_Bal-Princ,IF(Pay_Num&lt;&gt;"",0,""))</f>
        <v>0</v>
      </c>
      <c r="J308" s="70">
        <f>SUM($H$18:$H308)</f>
        <v>8041.5444282238004</v>
      </c>
    </row>
    <row r="309" spans="1:10" x14ac:dyDescent="0.3">
      <c r="A309" s="36">
        <f>IF(Values_Entered,A308+1,"")</f>
        <v>292</v>
      </c>
      <c r="B309" s="35">
        <f>IF(Pay_Num&lt;&gt;"",DATE(YEAR(Loan_Start),MONTH(Loan_Start)+(Pay_Num)*12/Num_Pmt_Per_Year,DAY(Loan_Start)),"")</f>
        <v>54271</v>
      </c>
      <c r="C309" s="70">
        <f>IF(Pay_Num&lt;&gt;"",I308,"")</f>
        <v>0</v>
      </c>
      <c r="D309" s="70">
        <f>IF(Pay_Num&lt;&gt;"",Scheduled_Monthly_Payment,"")</f>
        <v>2418.3976845093252</v>
      </c>
      <c r="E309" s="71">
        <f>IF(AND(Pay_Num&lt;&gt;"",Sched_Pay+Scheduled_Extra_Payments&lt;Beg_Bal),Scheduled_Extra_Payments,IF(AND(Pay_Num&lt;&gt;"",Beg_Bal-Sched_Pay&gt;0),Beg_Bal-Sched_Pay,IF(Pay_Num&lt;&gt;"",0,"")))</f>
        <v>0</v>
      </c>
      <c r="F309" s="70">
        <f>IF(AND(Pay_Num&lt;&gt;"",Sched_Pay+Extra_Pay&lt;Beg_Bal),Sched_Pay+Extra_Pay,IF(Pay_Num&lt;&gt;"",Beg_Bal,""))</f>
        <v>0</v>
      </c>
      <c r="G309" s="70">
        <f>IF(Pay_Num&lt;&gt;"",Total_Pay-Int,"")</f>
        <v>0</v>
      </c>
      <c r="H309" s="70">
        <f>IF(Pay_Num&lt;&gt;"",Beg_Bal*Interest_Rate/Num_Pmt_Per_Year,"")</f>
        <v>0</v>
      </c>
      <c r="I309" s="70">
        <f>IF(AND(Pay_Num&lt;&gt;"",Sched_Pay+Extra_Pay&lt;Beg_Bal),Beg_Bal-Princ,IF(Pay_Num&lt;&gt;"",0,""))</f>
        <v>0</v>
      </c>
      <c r="J309" s="70">
        <f>SUM($H$18:$H309)</f>
        <v>8041.5444282238004</v>
      </c>
    </row>
    <row r="310" spans="1:10" x14ac:dyDescent="0.3">
      <c r="A310" s="36">
        <f>IF(Values_Entered,A309+1,"")</f>
        <v>293</v>
      </c>
      <c r="B310" s="35">
        <f>IF(Pay_Num&lt;&gt;"",DATE(YEAR(Loan_Start),MONTH(Loan_Start)+(Pay_Num)*12/Num_Pmt_Per_Year,DAY(Loan_Start)),"")</f>
        <v>54302</v>
      </c>
      <c r="C310" s="70">
        <f>IF(Pay_Num&lt;&gt;"",I309,"")</f>
        <v>0</v>
      </c>
      <c r="D310" s="70">
        <f>IF(Pay_Num&lt;&gt;"",Scheduled_Monthly_Payment,"")</f>
        <v>2418.3976845093252</v>
      </c>
      <c r="E310" s="71">
        <f>IF(AND(Pay_Num&lt;&gt;"",Sched_Pay+Scheduled_Extra_Payments&lt;Beg_Bal),Scheduled_Extra_Payments,IF(AND(Pay_Num&lt;&gt;"",Beg_Bal-Sched_Pay&gt;0),Beg_Bal-Sched_Pay,IF(Pay_Num&lt;&gt;"",0,"")))</f>
        <v>0</v>
      </c>
      <c r="F310" s="70">
        <f>IF(AND(Pay_Num&lt;&gt;"",Sched_Pay+Extra_Pay&lt;Beg_Bal),Sched_Pay+Extra_Pay,IF(Pay_Num&lt;&gt;"",Beg_Bal,""))</f>
        <v>0</v>
      </c>
      <c r="G310" s="70">
        <f>IF(Pay_Num&lt;&gt;"",Total_Pay-Int,"")</f>
        <v>0</v>
      </c>
      <c r="H310" s="70">
        <f>IF(Pay_Num&lt;&gt;"",Beg_Bal*Interest_Rate/Num_Pmt_Per_Year,"")</f>
        <v>0</v>
      </c>
      <c r="I310" s="70">
        <f>IF(AND(Pay_Num&lt;&gt;"",Sched_Pay+Extra_Pay&lt;Beg_Bal),Beg_Bal-Princ,IF(Pay_Num&lt;&gt;"",0,""))</f>
        <v>0</v>
      </c>
      <c r="J310" s="70">
        <f>SUM($H$18:$H310)</f>
        <v>8041.5444282238004</v>
      </c>
    </row>
    <row r="311" spans="1:10" x14ac:dyDescent="0.3">
      <c r="A311" s="36">
        <f>IF(Values_Entered,A310+1,"")</f>
        <v>294</v>
      </c>
      <c r="B311" s="35">
        <f>IF(Pay_Num&lt;&gt;"",DATE(YEAR(Loan_Start),MONTH(Loan_Start)+(Pay_Num)*12/Num_Pmt_Per_Year,DAY(Loan_Start)),"")</f>
        <v>54332</v>
      </c>
      <c r="C311" s="70">
        <f>IF(Pay_Num&lt;&gt;"",I310,"")</f>
        <v>0</v>
      </c>
      <c r="D311" s="70">
        <f>IF(Pay_Num&lt;&gt;"",Scheduled_Monthly_Payment,"")</f>
        <v>2418.3976845093252</v>
      </c>
      <c r="E311" s="71">
        <f>IF(AND(Pay_Num&lt;&gt;"",Sched_Pay+Scheduled_Extra_Payments&lt;Beg_Bal),Scheduled_Extra_Payments,IF(AND(Pay_Num&lt;&gt;"",Beg_Bal-Sched_Pay&gt;0),Beg_Bal-Sched_Pay,IF(Pay_Num&lt;&gt;"",0,"")))</f>
        <v>0</v>
      </c>
      <c r="F311" s="70">
        <f>IF(AND(Pay_Num&lt;&gt;"",Sched_Pay+Extra_Pay&lt;Beg_Bal),Sched_Pay+Extra_Pay,IF(Pay_Num&lt;&gt;"",Beg_Bal,""))</f>
        <v>0</v>
      </c>
      <c r="G311" s="70">
        <f>IF(Pay_Num&lt;&gt;"",Total_Pay-Int,"")</f>
        <v>0</v>
      </c>
      <c r="H311" s="70">
        <f>IF(Pay_Num&lt;&gt;"",Beg_Bal*Interest_Rate/Num_Pmt_Per_Year,"")</f>
        <v>0</v>
      </c>
      <c r="I311" s="70">
        <f>IF(AND(Pay_Num&lt;&gt;"",Sched_Pay+Extra_Pay&lt;Beg_Bal),Beg_Bal-Princ,IF(Pay_Num&lt;&gt;"",0,""))</f>
        <v>0</v>
      </c>
      <c r="J311" s="70">
        <f>SUM($H$18:$H311)</f>
        <v>8041.5444282238004</v>
      </c>
    </row>
    <row r="312" spans="1:10" x14ac:dyDescent="0.3">
      <c r="A312" s="36">
        <f>IF(Values_Entered,A311+1,"")</f>
        <v>295</v>
      </c>
      <c r="B312" s="35">
        <f>IF(Pay_Num&lt;&gt;"",DATE(YEAR(Loan_Start),MONTH(Loan_Start)+(Pay_Num)*12/Num_Pmt_Per_Year,DAY(Loan_Start)),"")</f>
        <v>54363</v>
      </c>
      <c r="C312" s="70">
        <f>IF(Pay_Num&lt;&gt;"",I311,"")</f>
        <v>0</v>
      </c>
      <c r="D312" s="70">
        <f>IF(Pay_Num&lt;&gt;"",Scheduled_Monthly_Payment,"")</f>
        <v>2418.3976845093252</v>
      </c>
      <c r="E312" s="71">
        <f>IF(AND(Pay_Num&lt;&gt;"",Sched_Pay+Scheduled_Extra_Payments&lt;Beg_Bal),Scheduled_Extra_Payments,IF(AND(Pay_Num&lt;&gt;"",Beg_Bal-Sched_Pay&gt;0),Beg_Bal-Sched_Pay,IF(Pay_Num&lt;&gt;"",0,"")))</f>
        <v>0</v>
      </c>
      <c r="F312" s="70">
        <f>IF(AND(Pay_Num&lt;&gt;"",Sched_Pay+Extra_Pay&lt;Beg_Bal),Sched_Pay+Extra_Pay,IF(Pay_Num&lt;&gt;"",Beg_Bal,""))</f>
        <v>0</v>
      </c>
      <c r="G312" s="70">
        <f>IF(Pay_Num&lt;&gt;"",Total_Pay-Int,"")</f>
        <v>0</v>
      </c>
      <c r="H312" s="70">
        <f>IF(Pay_Num&lt;&gt;"",Beg_Bal*Interest_Rate/Num_Pmt_Per_Year,"")</f>
        <v>0</v>
      </c>
      <c r="I312" s="70">
        <f>IF(AND(Pay_Num&lt;&gt;"",Sched_Pay+Extra_Pay&lt;Beg_Bal),Beg_Bal-Princ,IF(Pay_Num&lt;&gt;"",0,""))</f>
        <v>0</v>
      </c>
      <c r="J312" s="70">
        <f>SUM($H$18:$H312)</f>
        <v>8041.5444282238004</v>
      </c>
    </row>
    <row r="313" spans="1:10" x14ac:dyDescent="0.3">
      <c r="A313" s="36">
        <f>IF(Values_Entered,A312+1,"")</f>
        <v>296</v>
      </c>
      <c r="B313" s="35">
        <f>IF(Pay_Num&lt;&gt;"",DATE(YEAR(Loan_Start),MONTH(Loan_Start)+(Pay_Num)*12/Num_Pmt_Per_Year,DAY(Loan_Start)),"")</f>
        <v>54393</v>
      </c>
      <c r="C313" s="70">
        <f>IF(Pay_Num&lt;&gt;"",I312,"")</f>
        <v>0</v>
      </c>
      <c r="D313" s="70">
        <f>IF(Pay_Num&lt;&gt;"",Scheduled_Monthly_Payment,"")</f>
        <v>2418.3976845093252</v>
      </c>
      <c r="E313" s="71">
        <f>IF(AND(Pay_Num&lt;&gt;"",Sched_Pay+Scheduled_Extra_Payments&lt;Beg_Bal),Scheduled_Extra_Payments,IF(AND(Pay_Num&lt;&gt;"",Beg_Bal-Sched_Pay&gt;0),Beg_Bal-Sched_Pay,IF(Pay_Num&lt;&gt;"",0,"")))</f>
        <v>0</v>
      </c>
      <c r="F313" s="70">
        <f>IF(AND(Pay_Num&lt;&gt;"",Sched_Pay+Extra_Pay&lt;Beg_Bal),Sched_Pay+Extra_Pay,IF(Pay_Num&lt;&gt;"",Beg_Bal,""))</f>
        <v>0</v>
      </c>
      <c r="G313" s="70">
        <f>IF(Pay_Num&lt;&gt;"",Total_Pay-Int,"")</f>
        <v>0</v>
      </c>
      <c r="H313" s="70">
        <f>IF(Pay_Num&lt;&gt;"",Beg_Bal*Interest_Rate/Num_Pmt_Per_Year,"")</f>
        <v>0</v>
      </c>
      <c r="I313" s="70">
        <f>IF(AND(Pay_Num&lt;&gt;"",Sched_Pay+Extra_Pay&lt;Beg_Bal),Beg_Bal-Princ,IF(Pay_Num&lt;&gt;"",0,""))</f>
        <v>0</v>
      </c>
      <c r="J313" s="70">
        <f>SUM($H$18:$H313)</f>
        <v>8041.5444282238004</v>
      </c>
    </row>
    <row r="314" spans="1:10" x14ac:dyDescent="0.3">
      <c r="A314" s="36">
        <f>IF(Values_Entered,A313+1,"")</f>
        <v>297</v>
      </c>
      <c r="B314" s="35">
        <f>IF(Pay_Num&lt;&gt;"",DATE(YEAR(Loan_Start),MONTH(Loan_Start)+(Pay_Num)*12/Num_Pmt_Per_Year,DAY(Loan_Start)),"")</f>
        <v>54424</v>
      </c>
      <c r="C314" s="70">
        <f>IF(Pay_Num&lt;&gt;"",I313,"")</f>
        <v>0</v>
      </c>
      <c r="D314" s="70">
        <f>IF(Pay_Num&lt;&gt;"",Scheduled_Monthly_Payment,"")</f>
        <v>2418.3976845093252</v>
      </c>
      <c r="E314" s="71">
        <f>IF(AND(Pay_Num&lt;&gt;"",Sched_Pay+Scheduled_Extra_Payments&lt;Beg_Bal),Scheduled_Extra_Payments,IF(AND(Pay_Num&lt;&gt;"",Beg_Bal-Sched_Pay&gt;0),Beg_Bal-Sched_Pay,IF(Pay_Num&lt;&gt;"",0,"")))</f>
        <v>0</v>
      </c>
      <c r="F314" s="70">
        <f>IF(AND(Pay_Num&lt;&gt;"",Sched_Pay+Extra_Pay&lt;Beg_Bal),Sched_Pay+Extra_Pay,IF(Pay_Num&lt;&gt;"",Beg_Bal,""))</f>
        <v>0</v>
      </c>
      <c r="G314" s="70">
        <f>IF(Pay_Num&lt;&gt;"",Total_Pay-Int,"")</f>
        <v>0</v>
      </c>
      <c r="H314" s="70">
        <f>IF(Pay_Num&lt;&gt;"",Beg_Bal*Interest_Rate/Num_Pmt_Per_Year,"")</f>
        <v>0</v>
      </c>
      <c r="I314" s="70">
        <f>IF(AND(Pay_Num&lt;&gt;"",Sched_Pay+Extra_Pay&lt;Beg_Bal),Beg_Bal-Princ,IF(Pay_Num&lt;&gt;"",0,""))</f>
        <v>0</v>
      </c>
      <c r="J314" s="70">
        <f>SUM($H$18:$H314)</f>
        <v>8041.5444282238004</v>
      </c>
    </row>
    <row r="315" spans="1:10" x14ac:dyDescent="0.3">
      <c r="A315" s="36">
        <f>IF(Values_Entered,A314+1,"")</f>
        <v>298</v>
      </c>
      <c r="B315" s="35">
        <f>IF(Pay_Num&lt;&gt;"",DATE(YEAR(Loan_Start),MONTH(Loan_Start)+(Pay_Num)*12/Num_Pmt_Per_Year,DAY(Loan_Start)),"")</f>
        <v>54455</v>
      </c>
      <c r="C315" s="70">
        <f>IF(Pay_Num&lt;&gt;"",I314,"")</f>
        <v>0</v>
      </c>
      <c r="D315" s="70">
        <f>IF(Pay_Num&lt;&gt;"",Scheduled_Monthly_Payment,"")</f>
        <v>2418.3976845093252</v>
      </c>
      <c r="E315" s="71">
        <f>IF(AND(Pay_Num&lt;&gt;"",Sched_Pay+Scheduled_Extra_Payments&lt;Beg_Bal),Scheduled_Extra_Payments,IF(AND(Pay_Num&lt;&gt;"",Beg_Bal-Sched_Pay&gt;0),Beg_Bal-Sched_Pay,IF(Pay_Num&lt;&gt;"",0,"")))</f>
        <v>0</v>
      </c>
      <c r="F315" s="70">
        <f>IF(AND(Pay_Num&lt;&gt;"",Sched_Pay+Extra_Pay&lt;Beg_Bal),Sched_Pay+Extra_Pay,IF(Pay_Num&lt;&gt;"",Beg_Bal,""))</f>
        <v>0</v>
      </c>
      <c r="G315" s="70">
        <f>IF(Pay_Num&lt;&gt;"",Total_Pay-Int,"")</f>
        <v>0</v>
      </c>
      <c r="H315" s="70">
        <f>IF(Pay_Num&lt;&gt;"",Beg_Bal*Interest_Rate/Num_Pmt_Per_Year,"")</f>
        <v>0</v>
      </c>
      <c r="I315" s="70">
        <f>IF(AND(Pay_Num&lt;&gt;"",Sched_Pay+Extra_Pay&lt;Beg_Bal),Beg_Bal-Princ,IF(Pay_Num&lt;&gt;"",0,""))</f>
        <v>0</v>
      </c>
      <c r="J315" s="70">
        <f>SUM($H$18:$H315)</f>
        <v>8041.5444282238004</v>
      </c>
    </row>
    <row r="316" spans="1:10" x14ac:dyDescent="0.3">
      <c r="A316" s="36">
        <f>IF(Values_Entered,A315+1,"")</f>
        <v>299</v>
      </c>
      <c r="B316" s="35">
        <f>IF(Pay_Num&lt;&gt;"",DATE(YEAR(Loan_Start),MONTH(Loan_Start)+(Pay_Num)*12/Num_Pmt_Per_Year,DAY(Loan_Start)),"")</f>
        <v>54483</v>
      </c>
      <c r="C316" s="70">
        <f>IF(Pay_Num&lt;&gt;"",I315,"")</f>
        <v>0</v>
      </c>
      <c r="D316" s="70">
        <f>IF(Pay_Num&lt;&gt;"",Scheduled_Monthly_Payment,"")</f>
        <v>2418.3976845093252</v>
      </c>
      <c r="E316" s="71">
        <f>IF(AND(Pay_Num&lt;&gt;"",Sched_Pay+Scheduled_Extra_Payments&lt;Beg_Bal),Scheduled_Extra_Payments,IF(AND(Pay_Num&lt;&gt;"",Beg_Bal-Sched_Pay&gt;0),Beg_Bal-Sched_Pay,IF(Pay_Num&lt;&gt;"",0,"")))</f>
        <v>0</v>
      </c>
      <c r="F316" s="70">
        <f>IF(AND(Pay_Num&lt;&gt;"",Sched_Pay+Extra_Pay&lt;Beg_Bal),Sched_Pay+Extra_Pay,IF(Pay_Num&lt;&gt;"",Beg_Bal,""))</f>
        <v>0</v>
      </c>
      <c r="G316" s="70">
        <f>IF(Pay_Num&lt;&gt;"",Total_Pay-Int,"")</f>
        <v>0</v>
      </c>
      <c r="H316" s="70">
        <f>IF(Pay_Num&lt;&gt;"",Beg_Bal*Interest_Rate/Num_Pmt_Per_Year,"")</f>
        <v>0</v>
      </c>
      <c r="I316" s="70">
        <f>IF(AND(Pay_Num&lt;&gt;"",Sched_Pay+Extra_Pay&lt;Beg_Bal),Beg_Bal-Princ,IF(Pay_Num&lt;&gt;"",0,""))</f>
        <v>0</v>
      </c>
      <c r="J316" s="70">
        <f>SUM($H$18:$H316)</f>
        <v>8041.5444282238004</v>
      </c>
    </row>
    <row r="317" spans="1:10" x14ac:dyDescent="0.3">
      <c r="A317" s="36">
        <f>IF(Values_Entered,A316+1,"")</f>
        <v>300</v>
      </c>
      <c r="B317" s="35">
        <f>IF(Pay_Num&lt;&gt;"",DATE(YEAR(Loan_Start),MONTH(Loan_Start)+(Pay_Num)*12/Num_Pmt_Per_Year,DAY(Loan_Start)),"")</f>
        <v>54514</v>
      </c>
      <c r="C317" s="70">
        <f>IF(Pay_Num&lt;&gt;"",I316,"")</f>
        <v>0</v>
      </c>
      <c r="D317" s="70">
        <f>IF(Pay_Num&lt;&gt;"",Scheduled_Monthly_Payment,"")</f>
        <v>2418.3976845093252</v>
      </c>
      <c r="E317" s="71">
        <f>IF(AND(Pay_Num&lt;&gt;"",Sched_Pay+Scheduled_Extra_Payments&lt;Beg_Bal),Scheduled_Extra_Payments,IF(AND(Pay_Num&lt;&gt;"",Beg_Bal-Sched_Pay&gt;0),Beg_Bal-Sched_Pay,IF(Pay_Num&lt;&gt;"",0,"")))</f>
        <v>0</v>
      </c>
      <c r="F317" s="70">
        <f>IF(AND(Pay_Num&lt;&gt;"",Sched_Pay+Extra_Pay&lt;Beg_Bal),Sched_Pay+Extra_Pay,IF(Pay_Num&lt;&gt;"",Beg_Bal,""))</f>
        <v>0</v>
      </c>
      <c r="G317" s="70">
        <f>IF(Pay_Num&lt;&gt;"",Total_Pay-Int,"")</f>
        <v>0</v>
      </c>
      <c r="H317" s="70">
        <f>IF(Pay_Num&lt;&gt;"",Beg_Bal*Interest_Rate/Num_Pmt_Per_Year,"")</f>
        <v>0</v>
      </c>
      <c r="I317" s="70">
        <f>IF(AND(Pay_Num&lt;&gt;"",Sched_Pay+Extra_Pay&lt;Beg_Bal),Beg_Bal-Princ,IF(Pay_Num&lt;&gt;"",0,""))</f>
        <v>0</v>
      </c>
      <c r="J317" s="70">
        <f>SUM($H$18:$H317)</f>
        <v>8041.5444282238004</v>
      </c>
    </row>
    <row r="318" spans="1:10" x14ac:dyDescent="0.3">
      <c r="A318" s="36">
        <f>IF(Values_Entered,A317+1,"")</f>
        <v>301</v>
      </c>
      <c r="B318" s="35">
        <f>IF(Pay_Num&lt;&gt;"",DATE(YEAR(Loan_Start),MONTH(Loan_Start)+(Pay_Num)*12/Num_Pmt_Per_Year,DAY(Loan_Start)),"")</f>
        <v>54544</v>
      </c>
      <c r="C318" s="70">
        <f>IF(Pay_Num&lt;&gt;"",I317,"")</f>
        <v>0</v>
      </c>
      <c r="D318" s="70">
        <f>IF(Pay_Num&lt;&gt;"",Scheduled_Monthly_Payment,"")</f>
        <v>2418.3976845093252</v>
      </c>
      <c r="E318" s="71">
        <f>IF(AND(Pay_Num&lt;&gt;"",Sched_Pay+Scheduled_Extra_Payments&lt;Beg_Bal),Scheduled_Extra_Payments,IF(AND(Pay_Num&lt;&gt;"",Beg_Bal-Sched_Pay&gt;0),Beg_Bal-Sched_Pay,IF(Pay_Num&lt;&gt;"",0,"")))</f>
        <v>0</v>
      </c>
      <c r="F318" s="70">
        <f>IF(AND(Pay_Num&lt;&gt;"",Sched_Pay+Extra_Pay&lt;Beg_Bal),Sched_Pay+Extra_Pay,IF(Pay_Num&lt;&gt;"",Beg_Bal,""))</f>
        <v>0</v>
      </c>
      <c r="G318" s="70">
        <f>IF(Pay_Num&lt;&gt;"",Total_Pay-Int,"")</f>
        <v>0</v>
      </c>
      <c r="H318" s="70">
        <f>IF(Pay_Num&lt;&gt;"",Beg_Bal*Interest_Rate/Num_Pmt_Per_Year,"")</f>
        <v>0</v>
      </c>
      <c r="I318" s="70">
        <f>IF(AND(Pay_Num&lt;&gt;"",Sched_Pay+Extra_Pay&lt;Beg_Bal),Beg_Bal-Princ,IF(Pay_Num&lt;&gt;"",0,""))</f>
        <v>0</v>
      </c>
      <c r="J318" s="70">
        <f>SUM($H$18:$H318)</f>
        <v>8041.5444282238004</v>
      </c>
    </row>
    <row r="319" spans="1:10" x14ac:dyDescent="0.3">
      <c r="A319" s="36">
        <f>IF(Values_Entered,A318+1,"")</f>
        <v>302</v>
      </c>
      <c r="B319" s="35">
        <f>IF(Pay_Num&lt;&gt;"",DATE(YEAR(Loan_Start),MONTH(Loan_Start)+(Pay_Num)*12/Num_Pmt_Per_Year,DAY(Loan_Start)),"")</f>
        <v>54575</v>
      </c>
      <c r="C319" s="70">
        <f>IF(Pay_Num&lt;&gt;"",I318,"")</f>
        <v>0</v>
      </c>
      <c r="D319" s="70">
        <f>IF(Pay_Num&lt;&gt;"",Scheduled_Monthly_Payment,"")</f>
        <v>2418.3976845093252</v>
      </c>
      <c r="E319" s="71">
        <f>IF(AND(Pay_Num&lt;&gt;"",Sched_Pay+Scheduled_Extra_Payments&lt;Beg_Bal),Scheduled_Extra_Payments,IF(AND(Pay_Num&lt;&gt;"",Beg_Bal-Sched_Pay&gt;0),Beg_Bal-Sched_Pay,IF(Pay_Num&lt;&gt;"",0,"")))</f>
        <v>0</v>
      </c>
      <c r="F319" s="70">
        <f>IF(AND(Pay_Num&lt;&gt;"",Sched_Pay+Extra_Pay&lt;Beg_Bal),Sched_Pay+Extra_Pay,IF(Pay_Num&lt;&gt;"",Beg_Bal,""))</f>
        <v>0</v>
      </c>
      <c r="G319" s="70">
        <f>IF(Pay_Num&lt;&gt;"",Total_Pay-Int,"")</f>
        <v>0</v>
      </c>
      <c r="H319" s="70">
        <f>IF(Pay_Num&lt;&gt;"",Beg_Bal*Interest_Rate/Num_Pmt_Per_Year,"")</f>
        <v>0</v>
      </c>
      <c r="I319" s="70">
        <f>IF(AND(Pay_Num&lt;&gt;"",Sched_Pay+Extra_Pay&lt;Beg_Bal),Beg_Bal-Princ,IF(Pay_Num&lt;&gt;"",0,""))</f>
        <v>0</v>
      </c>
      <c r="J319" s="70">
        <f>SUM($H$18:$H319)</f>
        <v>8041.5444282238004</v>
      </c>
    </row>
    <row r="320" spans="1:10" x14ac:dyDescent="0.3">
      <c r="A320" s="36">
        <f>IF(Values_Entered,A319+1,"")</f>
        <v>303</v>
      </c>
      <c r="B320" s="35">
        <f>IF(Pay_Num&lt;&gt;"",DATE(YEAR(Loan_Start),MONTH(Loan_Start)+(Pay_Num)*12/Num_Pmt_Per_Year,DAY(Loan_Start)),"")</f>
        <v>54605</v>
      </c>
      <c r="C320" s="70">
        <f>IF(Pay_Num&lt;&gt;"",I319,"")</f>
        <v>0</v>
      </c>
      <c r="D320" s="70">
        <f>IF(Pay_Num&lt;&gt;"",Scheduled_Monthly_Payment,"")</f>
        <v>2418.3976845093252</v>
      </c>
      <c r="E320" s="71">
        <f>IF(AND(Pay_Num&lt;&gt;"",Sched_Pay+Scheduled_Extra_Payments&lt;Beg_Bal),Scheduled_Extra_Payments,IF(AND(Pay_Num&lt;&gt;"",Beg_Bal-Sched_Pay&gt;0),Beg_Bal-Sched_Pay,IF(Pay_Num&lt;&gt;"",0,"")))</f>
        <v>0</v>
      </c>
      <c r="F320" s="70">
        <f>IF(AND(Pay_Num&lt;&gt;"",Sched_Pay+Extra_Pay&lt;Beg_Bal),Sched_Pay+Extra_Pay,IF(Pay_Num&lt;&gt;"",Beg_Bal,""))</f>
        <v>0</v>
      </c>
      <c r="G320" s="70">
        <f>IF(Pay_Num&lt;&gt;"",Total_Pay-Int,"")</f>
        <v>0</v>
      </c>
      <c r="H320" s="70">
        <f>IF(Pay_Num&lt;&gt;"",Beg_Bal*Interest_Rate/Num_Pmt_Per_Year,"")</f>
        <v>0</v>
      </c>
      <c r="I320" s="70">
        <f>IF(AND(Pay_Num&lt;&gt;"",Sched_Pay+Extra_Pay&lt;Beg_Bal),Beg_Bal-Princ,IF(Pay_Num&lt;&gt;"",0,""))</f>
        <v>0</v>
      </c>
      <c r="J320" s="70">
        <f>SUM($H$18:$H320)</f>
        <v>8041.5444282238004</v>
      </c>
    </row>
    <row r="321" spans="1:10" x14ac:dyDescent="0.3">
      <c r="A321" s="36">
        <f>IF(Values_Entered,A320+1,"")</f>
        <v>304</v>
      </c>
      <c r="B321" s="35">
        <f>IF(Pay_Num&lt;&gt;"",DATE(YEAR(Loan_Start),MONTH(Loan_Start)+(Pay_Num)*12/Num_Pmt_Per_Year,DAY(Loan_Start)),"")</f>
        <v>54636</v>
      </c>
      <c r="C321" s="70">
        <f>IF(Pay_Num&lt;&gt;"",I320,"")</f>
        <v>0</v>
      </c>
      <c r="D321" s="70">
        <f>IF(Pay_Num&lt;&gt;"",Scheduled_Monthly_Payment,"")</f>
        <v>2418.3976845093252</v>
      </c>
      <c r="E321" s="71">
        <f>IF(AND(Pay_Num&lt;&gt;"",Sched_Pay+Scheduled_Extra_Payments&lt;Beg_Bal),Scheduled_Extra_Payments,IF(AND(Pay_Num&lt;&gt;"",Beg_Bal-Sched_Pay&gt;0),Beg_Bal-Sched_Pay,IF(Pay_Num&lt;&gt;"",0,"")))</f>
        <v>0</v>
      </c>
      <c r="F321" s="70">
        <f>IF(AND(Pay_Num&lt;&gt;"",Sched_Pay+Extra_Pay&lt;Beg_Bal),Sched_Pay+Extra_Pay,IF(Pay_Num&lt;&gt;"",Beg_Bal,""))</f>
        <v>0</v>
      </c>
      <c r="G321" s="70">
        <f>IF(Pay_Num&lt;&gt;"",Total_Pay-Int,"")</f>
        <v>0</v>
      </c>
      <c r="H321" s="70">
        <f>IF(Pay_Num&lt;&gt;"",Beg_Bal*Interest_Rate/Num_Pmt_Per_Year,"")</f>
        <v>0</v>
      </c>
      <c r="I321" s="70">
        <f>IF(AND(Pay_Num&lt;&gt;"",Sched_Pay+Extra_Pay&lt;Beg_Bal),Beg_Bal-Princ,IF(Pay_Num&lt;&gt;"",0,""))</f>
        <v>0</v>
      </c>
      <c r="J321" s="70">
        <f>SUM($H$18:$H321)</f>
        <v>8041.5444282238004</v>
      </c>
    </row>
    <row r="322" spans="1:10" x14ac:dyDescent="0.3">
      <c r="A322" s="36">
        <f>IF(Values_Entered,A321+1,"")</f>
        <v>305</v>
      </c>
      <c r="B322" s="35">
        <f>IF(Pay_Num&lt;&gt;"",DATE(YEAR(Loan_Start),MONTH(Loan_Start)+(Pay_Num)*12/Num_Pmt_Per_Year,DAY(Loan_Start)),"")</f>
        <v>54667</v>
      </c>
      <c r="C322" s="70">
        <f>IF(Pay_Num&lt;&gt;"",I321,"")</f>
        <v>0</v>
      </c>
      <c r="D322" s="70">
        <f>IF(Pay_Num&lt;&gt;"",Scheduled_Monthly_Payment,"")</f>
        <v>2418.3976845093252</v>
      </c>
      <c r="E322" s="71">
        <f>IF(AND(Pay_Num&lt;&gt;"",Sched_Pay+Scheduled_Extra_Payments&lt;Beg_Bal),Scheduled_Extra_Payments,IF(AND(Pay_Num&lt;&gt;"",Beg_Bal-Sched_Pay&gt;0),Beg_Bal-Sched_Pay,IF(Pay_Num&lt;&gt;"",0,"")))</f>
        <v>0</v>
      </c>
      <c r="F322" s="70">
        <f>IF(AND(Pay_Num&lt;&gt;"",Sched_Pay+Extra_Pay&lt;Beg_Bal),Sched_Pay+Extra_Pay,IF(Pay_Num&lt;&gt;"",Beg_Bal,""))</f>
        <v>0</v>
      </c>
      <c r="G322" s="70">
        <f>IF(Pay_Num&lt;&gt;"",Total_Pay-Int,"")</f>
        <v>0</v>
      </c>
      <c r="H322" s="70">
        <f>IF(Pay_Num&lt;&gt;"",Beg_Bal*Interest_Rate/Num_Pmt_Per_Year,"")</f>
        <v>0</v>
      </c>
      <c r="I322" s="70">
        <f>IF(AND(Pay_Num&lt;&gt;"",Sched_Pay+Extra_Pay&lt;Beg_Bal),Beg_Bal-Princ,IF(Pay_Num&lt;&gt;"",0,""))</f>
        <v>0</v>
      </c>
      <c r="J322" s="70">
        <f>SUM($H$18:$H322)</f>
        <v>8041.5444282238004</v>
      </c>
    </row>
    <row r="323" spans="1:10" x14ac:dyDescent="0.3">
      <c r="A323" s="36">
        <f>IF(Values_Entered,A322+1,"")</f>
        <v>306</v>
      </c>
      <c r="B323" s="35">
        <f>IF(Pay_Num&lt;&gt;"",DATE(YEAR(Loan_Start),MONTH(Loan_Start)+(Pay_Num)*12/Num_Pmt_Per_Year,DAY(Loan_Start)),"")</f>
        <v>54697</v>
      </c>
      <c r="C323" s="70">
        <f>IF(Pay_Num&lt;&gt;"",I322,"")</f>
        <v>0</v>
      </c>
      <c r="D323" s="70">
        <f>IF(Pay_Num&lt;&gt;"",Scheduled_Monthly_Payment,"")</f>
        <v>2418.3976845093252</v>
      </c>
      <c r="E323" s="71">
        <f>IF(AND(Pay_Num&lt;&gt;"",Sched_Pay+Scheduled_Extra_Payments&lt;Beg_Bal),Scheduled_Extra_Payments,IF(AND(Pay_Num&lt;&gt;"",Beg_Bal-Sched_Pay&gt;0),Beg_Bal-Sched_Pay,IF(Pay_Num&lt;&gt;"",0,"")))</f>
        <v>0</v>
      </c>
      <c r="F323" s="70">
        <f>IF(AND(Pay_Num&lt;&gt;"",Sched_Pay+Extra_Pay&lt;Beg_Bal),Sched_Pay+Extra_Pay,IF(Pay_Num&lt;&gt;"",Beg_Bal,""))</f>
        <v>0</v>
      </c>
      <c r="G323" s="70">
        <f>IF(Pay_Num&lt;&gt;"",Total_Pay-Int,"")</f>
        <v>0</v>
      </c>
      <c r="H323" s="70">
        <f>IF(Pay_Num&lt;&gt;"",Beg_Bal*Interest_Rate/Num_Pmt_Per_Year,"")</f>
        <v>0</v>
      </c>
      <c r="I323" s="70">
        <f>IF(AND(Pay_Num&lt;&gt;"",Sched_Pay+Extra_Pay&lt;Beg_Bal),Beg_Bal-Princ,IF(Pay_Num&lt;&gt;"",0,""))</f>
        <v>0</v>
      </c>
      <c r="J323" s="70">
        <f>SUM($H$18:$H323)</f>
        <v>8041.5444282238004</v>
      </c>
    </row>
    <row r="324" spans="1:10" x14ac:dyDescent="0.3">
      <c r="A324" s="36">
        <f>IF(Values_Entered,A323+1,"")</f>
        <v>307</v>
      </c>
      <c r="B324" s="35">
        <f>IF(Pay_Num&lt;&gt;"",DATE(YEAR(Loan_Start),MONTH(Loan_Start)+(Pay_Num)*12/Num_Pmt_Per_Year,DAY(Loan_Start)),"")</f>
        <v>54728</v>
      </c>
      <c r="C324" s="70">
        <f>IF(Pay_Num&lt;&gt;"",I323,"")</f>
        <v>0</v>
      </c>
      <c r="D324" s="70">
        <f>IF(Pay_Num&lt;&gt;"",Scheduled_Monthly_Payment,"")</f>
        <v>2418.3976845093252</v>
      </c>
      <c r="E324" s="71">
        <f>IF(AND(Pay_Num&lt;&gt;"",Sched_Pay+Scheduled_Extra_Payments&lt;Beg_Bal),Scheduled_Extra_Payments,IF(AND(Pay_Num&lt;&gt;"",Beg_Bal-Sched_Pay&gt;0),Beg_Bal-Sched_Pay,IF(Pay_Num&lt;&gt;"",0,"")))</f>
        <v>0</v>
      </c>
      <c r="F324" s="70">
        <f>IF(AND(Pay_Num&lt;&gt;"",Sched_Pay+Extra_Pay&lt;Beg_Bal),Sched_Pay+Extra_Pay,IF(Pay_Num&lt;&gt;"",Beg_Bal,""))</f>
        <v>0</v>
      </c>
      <c r="G324" s="70">
        <f>IF(Pay_Num&lt;&gt;"",Total_Pay-Int,"")</f>
        <v>0</v>
      </c>
      <c r="H324" s="70">
        <f>IF(Pay_Num&lt;&gt;"",Beg_Bal*Interest_Rate/Num_Pmt_Per_Year,"")</f>
        <v>0</v>
      </c>
      <c r="I324" s="70">
        <f>IF(AND(Pay_Num&lt;&gt;"",Sched_Pay+Extra_Pay&lt;Beg_Bal),Beg_Bal-Princ,IF(Pay_Num&lt;&gt;"",0,""))</f>
        <v>0</v>
      </c>
      <c r="J324" s="70">
        <f>SUM($H$18:$H324)</f>
        <v>8041.5444282238004</v>
      </c>
    </row>
    <row r="325" spans="1:10" x14ac:dyDescent="0.3">
      <c r="A325" s="36">
        <f>IF(Values_Entered,A324+1,"")</f>
        <v>308</v>
      </c>
      <c r="B325" s="35">
        <f>IF(Pay_Num&lt;&gt;"",DATE(YEAR(Loan_Start),MONTH(Loan_Start)+(Pay_Num)*12/Num_Pmt_Per_Year,DAY(Loan_Start)),"")</f>
        <v>54758</v>
      </c>
      <c r="C325" s="70">
        <f>IF(Pay_Num&lt;&gt;"",I324,"")</f>
        <v>0</v>
      </c>
      <c r="D325" s="70">
        <f>IF(Pay_Num&lt;&gt;"",Scheduled_Monthly_Payment,"")</f>
        <v>2418.3976845093252</v>
      </c>
      <c r="E325" s="71">
        <f>IF(AND(Pay_Num&lt;&gt;"",Sched_Pay+Scheduled_Extra_Payments&lt;Beg_Bal),Scheduled_Extra_Payments,IF(AND(Pay_Num&lt;&gt;"",Beg_Bal-Sched_Pay&gt;0),Beg_Bal-Sched_Pay,IF(Pay_Num&lt;&gt;"",0,"")))</f>
        <v>0</v>
      </c>
      <c r="F325" s="70">
        <f>IF(AND(Pay_Num&lt;&gt;"",Sched_Pay+Extra_Pay&lt;Beg_Bal),Sched_Pay+Extra_Pay,IF(Pay_Num&lt;&gt;"",Beg_Bal,""))</f>
        <v>0</v>
      </c>
      <c r="G325" s="70">
        <f>IF(Pay_Num&lt;&gt;"",Total_Pay-Int,"")</f>
        <v>0</v>
      </c>
      <c r="H325" s="70">
        <f>IF(Pay_Num&lt;&gt;"",Beg_Bal*Interest_Rate/Num_Pmt_Per_Year,"")</f>
        <v>0</v>
      </c>
      <c r="I325" s="70">
        <f>IF(AND(Pay_Num&lt;&gt;"",Sched_Pay+Extra_Pay&lt;Beg_Bal),Beg_Bal-Princ,IF(Pay_Num&lt;&gt;"",0,""))</f>
        <v>0</v>
      </c>
      <c r="J325" s="70">
        <f>SUM($H$18:$H325)</f>
        <v>8041.5444282238004</v>
      </c>
    </row>
    <row r="326" spans="1:10" x14ac:dyDescent="0.3">
      <c r="A326" s="36">
        <f>IF(Values_Entered,A325+1,"")</f>
        <v>309</v>
      </c>
      <c r="B326" s="35">
        <f>IF(Pay_Num&lt;&gt;"",DATE(YEAR(Loan_Start),MONTH(Loan_Start)+(Pay_Num)*12/Num_Pmt_Per_Year,DAY(Loan_Start)),"")</f>
        <v>54789</v>
      </c>
      <c r="C326" s="70">
        <f>IF(Pay_Num&lt;&gt;"",I325,"")</f>
        <v>0</v>
      </c>
      <c r="D326" s="70">
        <f>IF(Pay_Num&lt;&gt;"",Scheduled_Monthly_Payment,"")</f>
        <v>2418.3976845093252</v>
      </c>
      <c r="E326" s="71">
        <f>IF(AND(Pay_Num&lt;&gt;"",Sched_Pay+Scheduled_Extra_Payments&lt;Beg_Bal),Scheduled_Extra_Payments,IF(AND(Pay_Num&lt;&gt;"",Beg_Bal-Sched_Pay&gt;0),Beg_Bal-Sched_Pay,IF(Pay_Num&lt;&gt;"",0,"")))</f>
        <v>0</v>
      </c>
      <c r="F326" s="70">
        <f>IF(AND(Pay_Num&lt;&gt;"",Sched_Pay+Extra_Pay&lt;Beg_Bal),Sched_Pay+Extra_Pay,IF(Pay_Num&lt;&gt;"",Beg_Bal,""))</f>
        <v>0</v>
      </c>
      <c r="G326" s="70">
        <f>IF(Pay_Num&lt;&gt;"",Total_Pay-Int,"")</f>
        <v>0</v>
      </c>
      <c r="H326" s="70">
        <f>IF(Pay_Num&lt;&gt;"",Beg_Bal*Interest_Rate/Num_Pmt_Per_Year,"")</f>
        <v>0</v>
      </c>
      <c r="I326" s="70">
        <f>IF(AND(Pay_Num&lt;&gt;"",Sched_Pay+Extra_Pay&lt;Beg_Bal),Beg_Bal-Princ,IF(Pay_Num&lt;&gt;"",0,""))</f>
        <v>0</v>
      </c>
      <c r="J326" s="70">
        <f>SUM($H$18:$H326)</f>
        <v>8041.5444282238004</v>
      </c>
    </row>
    <row r="327" spans="1:10" x14ac:dyDescent="0.3">
      <c r="A327" s="36">
        <f>IF(Values_Entered,A326+1,"")</f>
        <v>310</v>
      </c>
      <c r="B327" s="35">
        <f>IF(Pay_Num&lt;&gt;"",DATE(YEAR(Loan_Start),MONTH(Loan_Start)+(Pay_Num)*12/Num_Pmt_Per_Year,DAY(Loan_Start)),"")</f>
        <v>54820</v>
      </c>
      <c r="C327" s="70">
        <f>IF(Pay_Num&lt;&gt;"",I326,"")</f>
        <v>0</v>
      </c>
      <c r="D327" s="70">
        <f>IF(Pay_Num&lt;&gt;"",Scheduled_Monthly_Payment,"")</f>
        <v>2418.3976845093252</v>
      </c>
      <c r="E327" s="71">
        <f>IF(AND(Pay_Num&lt;&gt;"",Sched_Pay+Scheduled_Extra_Payments&lt;Beg_Bal),Scheduled_Extra_Payments,IF(AND(Pay_Num&lt;&gt;"",Beg_Bal-Sched_Pay&gt;0),Beg_Bal-Sched_Pay,IF(Pay_Num&lt;&gt;"",0,"")))</f>
        <v>0</v>
      </c>
      <c r="F327" s="70">
        <f>IF(AND(Pay_Num&lt;&gt;"",Sched_Pay+Extra_Pay&lt;Beg_Bal),Sched_Pay+Extra_Pay,IF(Pay_Num&lt;&gt;"",Beg_Bal,""))</f>
        <v>0</v>
      </c>
      <c r="G327" s="70">
        <f>IF(Pay_Num&lt;&gt;"",Total_Pay-Int,"")</f>
        <v>0</v>
      </c>
      <c r="H327" s="70">
        <f>IF(Pay_Num&lt;&gt;"",Beg_Bal*Interest_Rate/Num_Pmt_Per_Year,"")</f>
        <v>0</v>
      </c>
      <c r="I327" s="70">
        <f>IF(AND(Pay_Num&lt;&gt;"",Sched_Pay+Extra_Pay&lt;Beg_Bal),Beg_Bal-Princ,IF(Pay_Num&lt;&gt;"",0,""))</f>
        <v>0</v>
      </c>
      <c r="J327" s="70">
        <f>SUM($H$18:$H327)</f>
        <v>8041.5444282238004</v>
      </c>
    </row>
    <row r="328" spans="1:10" x14ac:dyDescent="0.3">
      <c r="A328" s="36">
        <f>IF(Values_Entered,A327+1,"")</f>
        <v>311</v>
      </c>
      <c r="B328" s="35">
        <f>IF(Pay_Num&lt;&gt;"",DATE(YEAR(Loan_Start),MONTH(Loan_Start)+(Pay_Num)*12/Num_Pmt_Per_Year,DAY(Loan_Start)),"")</f>
        <v>54848</v>
      </c>
      <c r="C328" s="70">
        <f>IF(Pay_Num&lt;&gt;"",I327,"")</f>
        <v>0</v>
      </c>
      <c r="D328" s="70">
        <f>IF(Pay_Num&lt;&gt;"",Scheduled_Monthly_Payment,"")</f>
        <v>2418.3976845093252</v>
      </c>
      <c r="E328" s="71">
        <f>IF(AND(Pay_Num&lt;&gt;"",Sched_Pay+Scheduled_Extra_Payments&lt;Beg_Bal),Scheduled_Extra_Payments,IF(AND(Pay_Num&lt;&gt;"",Beg_Bal-Sched_Pay&gt;0),Beg_Bal-Sched_Pay,IF(Pay_Num&lt;&gt;"",0,"")))</f>
        <v>0</v>
      </c>
      <c r="F328" s="70">
        <f>IF(AND(Pay_Num&lt;&gt;"",Sched_Pay+Extra_Pay&lt;Beg_Bal),Sched_Pay+Extra_Pay,IF(Pay_Num&lt;&gt;"",Beg_Bal,""))</f>
        <v>0</v>
      </c>
      <c r="G328" s="70">
        <f>IF(Pay_Num&lt;&gt;"",Total_Pay-Int,"")</f>
        <v>0</v>
      </c>
      <c r="H328" s="70">
        <f>IF(Pay_Num&lt;&gt;"",Beg_Bal*Interest_Rate/Num_Pmt_Per_Year,"")</f>
        <v>0</v>
      </c>
      <c r="I328" s="70">
        <f>IF(AND(Pay_Num&lt;&gt;"",Sched_Pay+Extra_Pay&lt;Beg_Bal),Beg_Bal-Princ,IF(Pay_Num&lt;&gt;"",0,""))</f>
        <v>0</v>
      </c>
      <c r="J328" s="70">
        <f>SUM($H$18:$H328)</f>
        <v>8041.5444282238004</v>
      </c>
    </row>
    <row r="329" spans="1:10" x14ac:dyDescent="0.3">
      <c r="A329" s="36">
        <f>IF(Values_Entered,A328+1,"")</f>
        <v>312</v>
      </c>
      <c r="B329" s="35">
        <f>IF(Pay_Num&lt;&gt;"",DATE(YEAR(Loan_Start),MONTH(Loan_Start)+(Pay_Num)*12/Num_Pmt_Per_Year,DAY(Loan_Start)),"")</f>
        <v>54879</v>
      </c>
      <c r="C329" s="70">
        <f>IF(Pay_Num&lt;&gt;"",I328,"")</f>
        <v>0</v>
      </c>
      <c r="D329" s="70">
        <f>IF(Pay_Num&lt;&gt;"",Scheduled_Monthly_Payment,"")</f>
        <v>2418.3976845093252</v>
      </c>
      <c r="E329" s="71">
        <f>IF(AND(Pay_Num&lt;&gt;"",Sched_Pay+Scheduled_Extra_Payments&lt;Beg_Bal),Scheduled_Extra_Payments,IF(AND(Pay_Num&lt;&gt;"",Beg_Bal-Sched_Pay&gt;0),Beg_Bal-Sched_Pay,IF(Pay_Num&lt;&gt;"",0,"")))</f>
        <v>0</v>
      </c>
      <c r="F329" s="70">
        <f>IF(AND(Pay_Num&lt;&gt;"",Sched_Pay+Extra_Pay&lt;Beg_Bal),Sched_Pay+Extra_Pay,IF(Pay_Num&lt;&gt;"",Beg_Bal,""))</f>
        <v>0</v>
      </c>
      <c r="G329" s="70">
        <f>IF(Pay_Num&lt;&gt;"",Total_Pay-Int,"")</f>
        <v>0</v>
      </c>
      <c r="H329" s="70">
        <f>IF(Pay_Num&lt;&gt;"",Beg_Bal*Interest_Rate/Num_Pmt_Per_Year,"")</f>
        <v>0</v>
      </c>
      <c r="I329" s="70">
        <f>IF(AND(Pay_Num&lt;&gt;"",Sched_Pay+Extra_Pay&lt;Beg_Bal),Beg_Bal-Princ,IF(Pay_Num&lt;&gt;"",0,""))</f>
        <v>0</v>
      </c>
      <c r="J329" s="70">
        <f>SUM($H$18:$H329)</f>
        <v>8041.5444282238004</v>
      </c>
    </row>
    <row r="330" spans="1:10" x14ac:dyDescent="0.3">
      <c r="A330" s="36">
        <f>IF(Values_Entered,A329+1,"")</f>
        <v>313</v>
      </c>
      <c r="B330" s="35">
        <f>IF(Pay_Num&lt;&gt;"",DATE(YEAR(Loan_Start),MONTH(Loan_Start)+(Pay_Num)*12/Num_Pmt_Per_Year,DAY(Loan_Start)),"")</f>
        <v>54909</v>
      </c>
      <c r="C330" s="70">
        <f>IF(Pay_Num&lt;&gt;"",I329,"")</f>
        <v>0</v>
      </c>
      <c r="D330" s="70">
        <f>IF(Pay_Num&lt;&gt;"",Scheduled_Monthly_Payment,"")</f>
        <v>2418.3976845093252</v>
      </c>
      <c r="E330" s="71">
        <f>IF(AND(Pay_Num&lt;&gt;"",Sched_Pay+Scheduled_Extra_Payments&lt;Beg_Bal),Scheduled_Extra_Payments,IF(AND(Pay_Num&lt;&gt;"",Beg_Bal-Sched_Pay&gt;0),Beg_Bal-Sched_Pay,IF(Pay_Num&lt;&gt;"",0,"")))</f>
        <v>0</v>
      </c>
      <c r="F330" s="70">
        <f>IF(AND(Pay_Num&lt;&gt;"",Sched_Pay+Extra_Pay&lt;Beg_Bal),Sched_Pay+Extra_Pay,IF(Pay_Num&lt;&gt;"",Beg_Bal,""))</f>
        <v>0</v>
      </c>
      <c r="G330" s="70">
        <f>IF(Pay_Num&lt;&gt;"",Total_Pay-Int,"")</f>
        <v>0</v>
      </c>
      <c r="H330" s="70">
        <f>IF(Pay_Num&lt;&gt;"",Beg_Bal*Interest_Rate/Num_Pmt_Per_Year,"")</f>
        <v>0</v>
      </c>
      <c r="I330" s="70">
        <f>IF(AND(Pay_Num&lt;&gt;"",Sched_Pay+Extra_Pay&lt;Beg_Bal),Beg_Bal-Princ,IF(Pay_Num&lt;&gt;"",0,""))</f>
        <v>0</v>
      </c>
      <c r="J330" s="70">
        <f>SUM($H$18:$H330)</f>
        <v>8041.5444282238004</v>
      </c>
    </row>
    <row r="331" spans="1:10" x14ac:dyDescent="0.3">
      <c r="A331" s="36">
        <f>IF(Values_Entered,A330+1,"")</f>
        <v>314</v>
      </c>
      <c r="B331" s="35">
        <f>IF(Pay_Num&lt;&gt;"",DATE(YEAR(Loan_Start),MONTH(Loan_Start)+(Pay_Num)*12/Num_Pmt_Per_Year,DAY(Loan_Start)),"")</f>
        <v>54940</v>
      </c>
      <c r="C331" s="70">
        <f>IF(Pay_Num&lt;&gt;"",I330,"")</f>
        <v>0</v>
      </c>
      <c r="D331" s="70">
        <f>IF(Pay_Num&lt;&gt;"",Scheduled_Monthly_Payment,"")</f>
        <v>2418.3976845093252</v>
      </c>
      <c r="E331" s="71">
        <f>IF(AND(Pay_Num&lt;&gt;"",Sched_Pay+Scheduled_Extra_Payments&lt;Beg_Bal),Scheduled_Extra_Payments,IF(AND(Pay_Num&lt;&gt;"",Beg_Bal-Sched_Pay&gt;0),Beg_Bal-Sched_Pay,IF(Pay_Num&lt;&gt;"",0,"")))</f>
        <v>0</v>
      </c>
      <c r="F331" s="70">
        <f>IF(AND(Pay_Num&lt;&gt;"",Sched_Pay+Extra_Pay&lt;Beg_Bal),Sched_Pay+Extra_Pay,IF(Pay_Num&lt;&gt;"",Beg_Bal,""))</f>
        <v>0</v>
      </c>
      <c r="G331" s="70">
        <f>IF(Pay_Num&lt;&gt;"",Total_Pay-Int,"")</f>
        <v>0</v>
      </c>
      <c r="H331" s="70">
        <f>IF(Pay_Num&lt;&gt;"",Beg_Bal*Interest_Rate/Num_Pmt_Per_Year,"")</f>
        <v>0</v>
      </c>
      <c r="I331" s="70">
        <f>IF(AND(Pay_Num&lt;&gt;"",Sched_Pay+Extra_Pay&lt;Beg_Bal),Beg_Bal-Princ,IF(Pay_Num&lt;&gt;"",0,""))</f>
        <v>0</v>
      </c>
      <c r="J331" s="70">
        <f>SUM($H$18:$H331)</f>
        <v>8041.5444282238004</v>
      </c>
    </row>
    <row r="332" spans="1:10" x14ac:dyDescent="0.3">
      <c r="A332" s="36">
        <f>IF(Values_Entered,A331+1,"")</f>
        <v>315</v>
      </c>
      <c r="B332" s="35">
        <f>IF(Pay_Num&lt;&gt;"",DATE(YEAR(Loan_Start),MONTH(Loan_Start)+(Pay_Num)*12/Num_Pmt_Per_Year,DAY(Loan_Start)),"")</f>
        <v>54970</v>
      </c>
      <c r="C332" s="70">
        <f>IF(Pay_Num&lt;&gt;"",I331,"")</f>
        <v>0</v>
      </c>
      <c r="D332" s="70">
        <f>IF(Pay_Num&lt;&gt;"",Scheduled_Monthly_Payment,"")</f>
        <v>2418.3976845093252</v>
      </c>
      <c r="E332" s="71">
        <f>IF(AND(Pay_Num&lt;&gt;"",Sched_Pay+Scheduled_Extra_Payments&lt;Beg_Bal),Scheduled_Extra_Payments,IF(AND(Pay_Num&lt;&gt;"",Beg_Bal-Sched_Pay&gt;0),Beg_Bal-Sched_Pay,IF(Pay_Num&lt;&gt;"",0,"")))</f>
        <v>0</v>
      </c>
      <c r="F332" s="70">
        <f>IF(AND(Pay_Num&lt;&gt;"",Sched_Pay+Extra_Pay&lt;Beg_Bal),Sched_Pay+Extra_Pay,IF(Pay_Num&lt;&gt;"",Beg_Bal,""))</f>
        <v>0</v>
      </c>
      <c r="G332" s="70">
        <f>IF(Pay_Num&lt;&gt;"",Total_Pay-Int,"")</f>
        <v>0</v>
      </c>
      <c r="H332" s="70">
        <f>IF(Pay_Num&lt;&gt;"",Beg_Bal*Interest_Rate/Num_Pmt_Per_Year,"")</f>
        <v>0</v>
      </c>
      <c r="I332" s="70">
        <f>IF(AND(Pay_Num&lt;&gt;"",Sched_Pay+Extra_Pay&lt;Beg_Bal),Beg_Bal-Princ,IF(Pay_Num&lt;&gt;"",0,""))</f>
        <v>0</v>
      </c>
      <c r="J332" s="70">
        <f>SUM($H$18:$H332)</f>
        <v>8041.5444282238004</v>
      </c>
    </row>
    <row r="333" spans="1:10" x14ac:dyDescent="0.3">
      <c r="A333" s="36">
        <f>IF(Values_Entered,A332+1,"")</f>
        <v>316</v>
      </c>
      <c r="B333" s="35">
        <f>IF(Pay_Num&lt;&gt;"",DATE(YEAR(Loan_Start),MONTH(Loan_Start)+(Pay_Num)*12/Num_Pmt_Per_Year,DAY(Loan_Start)),"")</f>
        <v>55001</v>
      </c>
      <c r="C333" s="70">
        <f>IF(Pay_Num&lt;&gt;"",I332,"")</f>
        <v>0</v>
      </c>
      <c r="D333" s="70">
        <f>IF(Pay_Num&lt;&gt;"",Scheduled_Monthly_Payment,"")</f>
        <v>2418.3976845093252</v>
      </c>
      <c r="E333" s="71">
        <f>IF(AND(Pay_Num&lt;&gt;"",Sched_Pay+Scheduled_Extra_Payments&lt;Beg_Bal),Scheduled_Extra_Payments,IF(AND(Pay_Num&lt;&gt;"",Beg_Bal-Sched_Pay&gt;0),Beg_Bal-Sched_Pay,IF(Pay_Num&lt;&gt;"",0,"")))</f>
        <v>0</v>
      </c>
      <c r="F333" s="70">
        <f>IF(AND(Pay_Num&lt;&gt;"",Sched_Pay+Extra_Pay&lt;Beg_Bal),Sched_Pay+Extra_Pay,IF(Pay_Num&lt;&gt;"",Beg_Bal,""))</f>
        <v>0</v>
      </c>
      <c r="G333" s="70">
        <f>IF(Pay_Num&lt;&gt;"",Total_Pay-Int,"")</f>
        <v>0</v>
      </c>
      <c r="H333" s="70">
        <f>IF(Pay_Num&lt;&gt;"",Beg_Bal*Interest_Rate/Num_Pmt_Per_Year,"")</f>
        <v>0</v>
      </c>
      <c r="I333" s="70">
        <f>IF(AND(Pay_Num&lt;&gt;"",Sched_Pay+Extra_Pay&lt;Beg_Bal),Beg_Bal-Princ,IF(Pay_Num&lt;&gt;"",0,""))</f>
        <v>0</v>
      </c>
      <c r="J333" s="70">
        <f>SUM($H$18:$H333)</f>
        <v>8041.5444282238004</v>
      </c>
    </row>
    <row r="334" spans="1:10" x14ac:dyDescent="0.3">
      <c r="A334" s="36">
        <f>IF(Values_Entered,A333+1,"")</f>
        <v>317</v>
      </c>
      <c r="B334" s="35">
        <f>IF(Pay_Num&lt;&gt;"",DATE(YEAR(Loan_Start),MONTH(Loan_Start)+(Pay_Num)*12/Num_Pmt_Per_Year,DAY(Loan_Start)),"")</f>
        <v>55032</v>
      </c>
      <c r="C334" s="70">
        <f>IF(Pay_Num&lt;&gt;"",I333,"")</f>
        <v>0</v>
      </c>
      <c r="D334" s="70">
        <f>IF(Pay_Num&lt;&gt;"",Scheduled_Monthly_Payment,"")</f>
        <v>2418.3976845093252</v>
      </c>
      <c r="E334" s="71">
        <f>IF(AND(Pay_Num&lt;&gt;"",Sched_Pay+Scheduled_Extra_Payments&lt;Beg_Bal),Scheduled_Extra_Payments,IF(AND(Pay_Num&lt;&gt;"",Beg_Bal-Sched_Pay&gt;0),Beg_Bal-Sched_Pay,IF(Pay_Num&lt;&gt;"",0,"")))</f>
        <v>0</v>
      </c>
      <c r="F334" s="70">
        <f>IF(AND(Pay_Num&lt;&gt;"",Sched_Pay+Extra_Pay&lt;Beg_Bal),Sched_Pay+Extra_Pay,IF(Pay_Num&lt;&gt;"",Beg_Bal,""))</f>
        <v>0</v>
      </c>
      <c r="G334" s="70">
        <f>IF(Pay_Num&lt;&gt;"",Total_Pay-Int,"")</f>
        <v>0</v>
      </c>
      <c r="H334" s="70">
        <f>IF(Pay_Num&lt;&gt;"",Beg_Bal*Interest_Rate/Num_Pmt_Per_Year,"")</f>
        <v>0</v>
      </c>
      <c r="I334" s="70">
        <f>IF(AND(Pay_Num&lt;&gt;"",Sched_Pay+Extra_Pay&lt;Beg_Bal),Beg_Bal-Princ,IF(Pay_Num&lt;&gt;"",0,""))</f>
        <v>0</v>
      </c>
      <c r="J334" s="70">
        <f>SUM($H$18:$H334)</f>
        <v>8041.5444282238004</v>
      </c>
    </row>
    <row r="335" spans="1:10" x14ac:dyDescent="0.3">
      <c r="A335" s="36">
        <f>IF(Values_Entered,A334+1,"")</f>
        <v>318</v>
      </c>
      <c r="B335" s="35">
        <f>IF(Pay_Num&lt;&gt;"",DATE(YEAR(Loan_Start),MONTH(Loan_Start)+(Pay_Num)*12/Num_Pmt_Per_Year,DAY(Loan_Start)),"")</f>
        <v>55062</v>
      </c>
      <c r="C335" s="70">
        <f>IF(Pay_Num&lt;&gt;"",I334,"")</f>
        <v>0</v>
      </c>
      <c r="D335" s="70">
        <f>IF(Pay_Num&lt;&gt;"",Scheduled_Monthly_Payment,"")</f>
        <v>2418.3976845093252</v>
      </c>
      <c r="E335" s="71">
        <f>IF(AND(Pay_Num&lt;&gt;"",Sched_Pay+Scheduled_Extra_Payments&lt;Beg_Bal),Scheduled_Extra_Payments,IF(AND(Pay_Num&lt;&gt;"",Beg_Bal-Sched_Pay&gt;0),Beg_Bal-Sched_Pay,IF(Pay_Num&lt;&gt;"",0,"")))</f>
        <v>0</v>
      </c>
      <c r="F335" s="70">
        <f>IF(AND(Pay_Num&lt;&gt;"",Sched_Pay+Extra_Pay&lt;Beg_Bal),Sched_Pay+Extra_Pay,IF(Pay_Num&lt;&gt;"",Beg_Bal,""))</f>
        <v>0</v>
      </c>
      <c r="G335" s="70">
        <f>IF(Pay_Num&lt;&gt;"",Total_Pay-Int,"")</f>
        <v>0</v>
      </c>
      <c r="H335" s="70">
        <f>IF(Pay_Num&lt;&gt;"",Beg_Bal*Interest_Rate/Num_Pmt_Per_Year,"")</f>
        <v>0</v>
      </c>
      <c r="I335" s="70">
        <f>IF(AND(Pay_Num&lt;&gt;"",Sched_Pay+Extra_Pay&lt;Beg_Bal),Beg_Bal-Princ,IF(Pay_Num&lt;&gt;"",0,""))</f>
        <v>0</v>
      </c>
      <c r="J335" s="70">
        <f>SUM($H$18:$H335)</f>
        <v>8041.5444282238004</v>
      </c>
    </row>
    <row r="336" spans="1:10" x14ac:dyDescent="0.3">
      <c r="A336" s="36">
        <f>IF(Values_Entered,A335+1,"")</f>
        <v>319</v>
      </c>
      <c r="B336" s="35">
        <f>IF(Pay_Num&lt;&gt;"",DATE(YEAR(Loan_Start),MONTH(Loan_Start)+(Pay_Num)*12/Num_Pmt_Per_Year,DAY(Loan_Start)),"")</f>
        <v>55093</v>
      </c>
      <c r="C336" s="70">
        <f>IF(Pay_Num&lt;&gt;"",I335,"")</f>
        <v>0</v>
      </c>
      <c r="D336" s="70">
        <f>IF(Pay_Num&lt;&gt;"",Scheduled_Monthly_Payment,"")</f>
        <v>2418.3976845093252</v>
      </c>
      <c r="E336" s="71">
        <f>IF(AND(Pay_Num&lt;&gt;"",Sched_Pay+Scheduled_Extra_Payments&lt;Beg_Bal),Scheduled_Extra_Payments,IF(AND(Pay_Num&lt;&gt;"",Beg_Bal-Sched_Pay&gt;0),Beg_Bal-Sched_Pay,IF(Pay_Num&lt;&gt;"",0,"")))</f>
        <v>0</v>
      </c>
      <c r="F336" s="70">
        <f>IF(AND(Pay_Num&lt;&gt;"",Sched_Pay+Extra_Pay&lt;Beg_Bal),Sched_Pay+Extra_Pay,IF(Pay_Num&lt;&gt;"",Beg_Bal,""))</f>
        <v>0</v>
      </c>
      <c r="G336" s="70">
        <f>IF(Pay_Num&lt;&gt;"",Total_Pay-Int,"")</f>
        <v>0</v>
      </c>
      <c r="H336" s="70">
        <f>IF(Pay_Num&lt;&gt;"",Beg_Bal*Interest_Rate/Num_Pmt_Per_Year,"")</f>
        <v>0</v>
      </c>
      <c r="I336" s="70">
        <f>IF(AND(Pay_Num&lt;&gt;"",Sched_Pay+Extra_Pay&lt;Beg_Bal),Beg_Bal-Princ,IF(Pay_Num&lt;&gt;"",0,""))</f>
        <v>0</v>
      </c>
      <c r="J336" s="70">
        <f>SUM($H$18:$H336)</f>
        <v>8041.5444282238004</v>
      </c>
    </row>
    <row r="337" spans="1:10" x14ac:dyDescent="0.3">
      <c r="A337" s="36">
        <f>IF(Values_Entered,A336+1,"")</f>
        <v>320</v>
      </c>
      <c r="B337" s="35">
        <f>IF(Pay_Num&lt;&gt;"",DATE(YEAR(Loan_Start),MONTH(Loan_Start)+(Pay_Num)*12/Num_Pmt_Per_Year,DAY(Loan_Start)),"")</f>
        <v>55123</v>
      </c>
      <c r="C337" s="70">
        <f>IF(Pay_Num&lt;&gt;"",I336,"")</f>
        <v>0</v>
      </c>
      <c r="D337" s="70">
        <f>IF(Pay_Num&lt;&gt;"",Scheduled_Monthly_Payment,"")</f>
        <v>2418.3976845093252</v>
      </c>
      <c r="E337" s="71">
        <f>IF(AND(Pay_Num&lt;&gt;"",Sched_Pay+Scheduled_Extra_Payments&lt;Beg_Bal),Scheduled_Extra_Payments,IF(AND(Pay_Num&lt;&gt;"",Beg_Bal-Sched_Pay&gt;0),Beg_Bal-Sched_Pay,IF(Pay_Num&lt;&gt;"",0,"")))</f>
        <v>0</v>
      </c>
      <c r="F337" s="70">
        <f>IF(AND(Pay_Num&lt;&gt;"",Sched_Pay+Extra_Pay&lt;Beg_Bal),Sched_Pay+Extra_Pay,IF(Pay_Num&lt;&gt;"",Beg_Bal,""))</f>
        <v>0</v>
      </c>
      <c r="G337" s="70">
        <f>IF(Pay_Num&lt;&gt;"",Total_Pay-Int,"")</f>
        <v>0</v>
      </c>
      <c r="H337" s="70">
        <f>IF(Pay_Num&lt;&gt;"",Beg_Bal*Interest_Rate/Num_Pmt_Per_Year,"")</f>
        <v>0</v>
      </c>
      <c r="I337" s="70">
        <f>IF(AND(Pay_Num&lt;&gt;"",Sched_Pay+Extra_Pay&lt;Beg_Bal),Beg_Bal-Princ,IF(Pay_Num&lt;&gt;"",0,""))</f>
        <v>0</v>
      </c>
      <c r="J337" s="70">
        <f>SUM($H$18:$H337)</f>
        <v>8041.5444282238004</v>
      </c>
    </row>
    <row r="338" spans="1:10" x14ac:dyDescent="0.3">
      <c r="A338" s="36">
        <f>IF(Values_Entered,A337+1,"")</f>
        <v>321</v>
      </c>
      <c r="B338" s="35">
        <f>IF(Pay_Num&lt;&gt;"",DATE(YEAR(Loan_Start),MONTH(Loan_Start)+(Pay_Num)*12/Num_Pmt_Per_Year,DAY(Loan_Start)),"")</f>
        <v>55154</v>
      </c>
      <c r="C338" s="70">
        <f>IF(Pay_Num&lt;&gt;"",I337,"")</f>
        <v>0</v>
      </c>
      <c r="D338" s="70">
        <f>IF(Pay_Num&lt;&gt;"",Scheduled_Monthly_Payment,"")</f>
        <v>2418.3976845093252</v>
      </c>
      <c r="E338" s="71">
        <f>IF(AND(Pay_Num&lt;&gt;"",Sched_Pay+Scheduled_Extra_Payments&lt;Beg_Bal),Scheduled_Extra_Payments,IF(AND(Pay_Num&lt;&gt;"",Beg_Bal-Sched_Pay&gt;0),Beg_Bal-Sched_Pay,IF(Pay_Num&lt;&gt;"",0,"")))</f>
        <v>0</v>
      </c>
      <c r="F338" s="70">
        <f>IF(AND(Pay_Num&lt;&gt;"",Sched_Pay+Extra_Pay&lt;Beg_Bal),Sched_Pay+Extra_Pay,IF(Pay_Num&lt;&gt;"",Beg_Bal,""))</f>
        <v>0</v>
      </c>
      <c r="G338" s="70">
        <f>IF(Pay_Num&lt;&gt;"",Total_Pay-Int,"")</f>
        <v>0</v>
      </c>
      <c r="H338" s="70">
        <f>IF(Pay_Num&lt;&gt;"",Beg_Bal*Interest_Rate/Num_Pmt_Per_Year,"")</f>
        <v>0</v>
      </c>
      <c r="I338" s="70">
        <f>IF(AND(Pay_Num&lt;&gt;"",Sched_Pay+Extra_Pay&lt;Beg_Bal),Beg_Bal-Princ,IF(Pay_Num&lt;&gt;"",0,""))</f>
        <v>0</v>
      </c>
      <c r="J338" s="70">
        <f>SUM($H$18:$H338)</f>
        <v>8041.5444282238004</v>
      </c>
    </row>
    <row r="339" spans="1:10" x14ac:dyDescent="0.3">
      <c r="A339" s="36">
        <f>IF(Values_Entered,A338+1,"")</f>
        <v>322</v>
      </c>
      <c r="B339" s="35">
        <f>IF(Pay_Num&lt;&gt;"",DATE(YEAR(Loan_Start),MONTH(Loan_Start)+(Pay_Num)*12/Num_Pmt_Per_Year,DAY(Loan_Start)),"")</f>
        <v>55185</v>
      </c>
      <c r="C339" s="70">
        <f>IF(Pay_Num&lt;&gt;"",I338,"")</f>
        <v>0</v>
      </c>
      <c r="D339" s="70">
        <f>IF(Pay_Num&lt;&gt;"",Scheduled_Monthly_Payment,"")</f>
        <v>2418.3976845093252</v>
      </c>
      <c r="E339" s="71">
        <f>IF(AND(Pay_Num&lt;&gt;"",Sched_Pay+Scheduled_Extra_Payments&lt;Beg_Bal),Scheduled_Extra_Payments,IF(AND(Pay_Num&lt;&gt;"",Beg_Bal-Sched_Pay&gt;0),Beg_Bal-Sched_Pay,IF(Pay_Num&lt;&gt;"",0,"")))</f>
        <v>0</v>
      </c>
      <c r="F339" s="70">
        <f>IF(AND(Pay_Num&lt;&gt;"",Sched_Pay+Extra_Pay&lt;Beg_Bal),Sched_Pay+Extra_Pay,IF(Pay_Num&lt;&gt;"",Beg_Bal,""))</f>
        <v>0</v>
      </c>
      <c r="G339" s="70">
        <f>IF(Pay_Num&lt;&gt;"",Total_Pay-Int,"")</f>
        <v>0</v>
      </c>
      <c r="H339" s="70">
        <f>IF(Pay_Num&lt;&gt;"",Beg_Bal*Interest_Rate/Num_Pmt_Per_Year,"")</f>
        <v>0</v>
      </c>
      <c r="I339" s="70">
        <f>IF(AND(Pay_Num&lt;&gt;"",Sched_Pay+Extra_Pay&lt;Beg_Bal),Beg_Bal-Princ,IF(Pay_Num&lt;&gt;"",0,""))</f>
        <v>0</v>
      </c>
      <c r="J339" s="70">
        <f>SUM($H$18:$H339)</f>
        <v>8041.5444282238004</v>
      </c>
    </row>
    <row r="340" spans="1:10" x14ac:dyDescent="0.3">
      <c r="A340" s="36">
        <f>IF(Values_Entered,A339+1,"")</f>
        <v>323</v>
      </c>
      <c r="B340" s="35">
        <f>IF(Pay_Num&lt;&gt;"",DATE(YEAR(Loan_Start),MONTH(Loan_Start)+(Pay_Num)*12/Num_Pmt_Per_Year,DAY(Loan_Start)),"")</f>
        <v>55213</v>
      </c>
      <c r="C340" s="70">
        <f>IF(Pay_Num&lt;&gt;"",I339,"")</f>
        <v>0</v>
      </c>
      <c r="D340" s="70">
        <f>IF(Pay_Num&lt;&gt;"",Scheduled_Monthly_Payment,"")</f>
        <v>2418.3976845093252</v>
      </c>
      <c r="E340" s="71">
        <f>IF(AND(Pay_Num&lt;&gt;"",Sched_Pay+Scheduled_Extra_Payments&lt;Beg_Bal),Scheduled_Extra_Payments,IF(AND(Pay_Num&lt;&gt;"",Beg_Bal-Sched_Pay&gt;0),Beg_Bal-Sched_Pay,IF(Pay_Num&lt;&gt;"",0,"")))</f>
        <v>0</v>
      </c>
      <c r="F340" s="70">
        <f>IF(AND(Pay_Num&lt;&gt;"",Sched_Pay+Extra_Pay&lt;Beg_Bal),Sched_Pay+Extra_Pay,IF(Pay_Num&lt;&gt;"",Beg_Bal,""))</f>
        <v>0</v>
      </c>
      <c r="G340" s="70">
        <f>IF(Pay_Num&lt;&gt;"",Total_Pay-Int,"")</f>
        <v>0</v>
      </c>
      <c r="H340" s="70">
        <f>IF(Pay_Num&lt;&gt;"",Beg_Bal*Interest_Rate/Num_Pmt_Per_Year,"")</f>
        <v>0</v>
      </c>
      <c r="I340" s="70">
        <f>IF(AND(Pay_Num&lt;&gt;"",Sched_Pay+Extra_Pay&lt;Beg_Bal),Beg_Bal-Princ,IF(Pay_Num&lt;&gt;"",0,""))</f>
        <v>0</v>
      </c>
      <c r="J340" s="70">
        <f>SUM($H$18:$H340)</f>
        <v>8041.5444282238004</v>
      </c>
    </row>
    <row r="341" spans="1:10" x14ac:dyDescent="0.3">
      <c r="A341" s="36">
        <f>IF(Values_Entered,A340+1,"")</f>
        <v>324</v>
      </c>
      <c r="B341" s="35">
        <f>IF(Pay_Num&lt;&gt;"",DATE(YEAR(Loan_Start),MONTH(Loan_Start)+(Pay_Num)*12/Num_Pmt_Per_Year,DAY(Loan_Start)),"")</f>
        <v>55244</v>
      </c>
      <c r="C341" s="70">
        <f>IF(Pay_Num&lt;&gt;"",I340,"")</f>
        <v>0</v>
      </c>
      <c r="D341" s="70">
        <f>IF(Pay_Num&lt;&gt;"",Scheduled_Monthly_Payment,"")</f>
        <v>2418.3976845093252</v>
      </c>
      <c r="E341" s="71">
        <f>IF(AND(Pay_Num&lt;&gt;"",Sched_Pay+Scheduled_Extra_Payments&lt;Beg_Bal),Scheduled_Extra_Payments,IF(AND(Pay_Num&lt;&gt;"",Beg_Bal-Sched_Pay&gt;0),Beg_Bal-Sched_Pay,IF(Pay_Num&lt;&gt;"",0,"")))</f>
        <v>0</v>
      </c>
      <c r="F341" s="70">
        <f>IF(AND(Pay_Num&lt;&gt;"",Sched_Pay+Extra_Pay&lt;Beg_Bal),Sched_Pay+Extra_Pay,IF(Pay_Num&lt;&gt;"",Beg_Bal,""))</f>
        <v>0</v>
      </c>
      <c r="G341" s="70">
        <f>IF(Pay_Num&lt;&gt;"",Total_Pay-Int,"")</f>
        <v>0</v>
      </c>
      <c r="H341" s="70">
        <f>IF(Pay_Num&lt;&gt;"",Beg_Bal*Interest_Rate/Num_Pmt_Per_Year,"")</f>
        <v>0</v>
      </c>
      <c r="I341" s="70">
        <f>IF(AND(Pay_Num&lt;&gt;"",Sched_Pay+Extra_Pay&lt;Beg_Bal),Beg_Bal-Princ,IF(Pay_Num&lt;&gt;"",0,""))</f>
        <v>0</v>
      </c>
      <c r="J341" s="70">
        <f>SUM($H$18:$H341)</f>
        <v>8041.5444282238004</v>
      </c>
    </row>
    <row r="342" spans="1:10" x14ac:dyDescent="0.3">
      <c r="A342" s="36">
        <f>IF(Values_Entered,A341+1,"")</f>
        <v>325</v>
      </c>
      <c r="B342" s="35">
        <f>IF(Pay_Num&lt;&gt;"",DATE(YEAR(Loan_Start),MONTH(Loan_Start)+(Pay_Num)*12/Num_Pmt_Per_Year,DAY(Loan_Start)),"")</f>
        <v>55274</v>
      </c>
      <c r="C342" s="70">
        <f>IF(Pay_Num&lt;&gt;"",I341,"")</f>
        <v>0</v>
      </c>
      <c r="D342" s="70">
        <f>IF(Pay_Num&lt;&gt;"",Scheduled_Monthly_Payment,"")</f>
        <v>2418.3976845093252</v>
      </c>
      <c r="E342" s="71">
        <f>IF(AND(Pay_Num&lt;&gt;"",Sched_Pay+Scheduled_Extra_Payments&lt;Beg_Bal),Scheduled_Extra_Payments,IF(AND(Pay_Num&lt;&gt;"",Beg_Bal-Sched_Pay&gt;0),Beg_Bal-Sched_Pay,IF(Pay_Num&lt;&gt;"",0,"")))</f>
        <v>0</v>
      </c>
      <c r="F342" s="70">
        <f>IF(AND(Pay_Num&lt;&gt;"",Sched_Pay+Extra_Pay&lt;Beg_Bal),Sched_Pay+Extra_Pay,IF(Pay_Num&lt;&gt;"",Beg_Bal,""))</f>
        <v>0</v>
      </c>
      <c r="G342" s="70">
        <f>IF(Pay_Num&lt;&gt;"",Total_Pay-Int,"")</f>
        <v>0</v>
      </c>
      <c r="H342" s="70">
        <f>IF(Pay_Num&lt;&gt;"",Beg_Bal*Interest_Rate/Num_Pmt_Per_Year,"")</f>
        <v>0</v>
      </c>
      <c r="I342" s="70">
        <f>IF(AND(Pay_Num&lt;&gt;"",Sched_Pay+Extra_Pay&lt;Beg_Bal),Beg_Bal-Princ,IF(Pay_Num&lt;&gt;"",0,""))</f>
        <v>0</v>
      </c>
      <c r="J342" s="70">
        <f>SUM($H$18:$H342)</f>
        <v>8041.5444282238004</v>
      </c>
    </row>
    <row r="343" spans="1:10" x14ac:dyDescent="0.3">
      <c r="A343" s="36">
        <f>IF(Values_Entered,A342+1,"")</f>
        <v>326</v>
      </c>
      <c r="B343" s="35">
        <f>IF(Pay_Num&lt;&gt;"",DATE(YEAR(Loan_Start),MONTH(Loan_Start)+(Pay_Num)*12/Num_Pmt_Per_Year,DAY(Loan_Start)),"")</f>
        <v>55305</v>
      </c>
      <c r="C343" s="70">
        <f>IF(Pay_Num&lt;&gt;"",I342,"")</f>
        <v>0</v>
      </c>
      <c r="D343" s="70">
        <f>IF(Pay_Num&lt;&gt;"",Scheduled_Monthly_Payment,"")</f>
        <v>2418.3976845093252</v>
      </c>
      <c r="E343" s="71">
        <f>IF(AND(Pay_Num&lt;&gt;"",Sched_Pay+Scheduled_Extra_Payments&lt;Beg_Bal),Scheduled_Extra_Payments,IF(AND(Pay_Num&lt;&gt;"",Beg_Bal-Sched_Pay&gt;0),Beg_Bal-Sched_Pay,IF(Pay_Num&lt;&gt;"",0,"")))</f>
        <v>0</v>
      </c>
      <c r="F343" s="70">
        <f>IF(AND(Pay_Num&lt;&gt;"",Sched_Pay+Extra_Pay&lt;Beg_Bal),Sched_Pay+Extra_Pay,IF(Pay_Num&lt;&gt;"",Beg_Bal,""))</f>
        <v>0</v>
      </c>
      <c r="G343" s="70">
        <f>IF(Pay_Num&lt;&gt;"",Total_Pay-Int,"")</f>
        <v>0</v>
      </c>
      <c r="H343" s="70">
        <f>IF(Pay_Num&lt;&gt;"",Beg_Bal*Interest_Rate/Num_Pmt_Per_Year,"")</f>
        <v>0</v>
      </c>
      <c r="I343" s="70">
        <f>IF(AND(Pay_Num&lt;&gt;"",Sched_Pay+Extra_Pay&lt;Beg_Bal),Beg_Bal-Princ,IF(Pay_Num&lt;&gt;"",0,""))</f>
        <v>0</v>
      </c>
      <c r="J343" s="70">
        <f>SUM($H$18:$H343)</f>
        <v>8041.5444282238004</v>
      </c>
    </row>
    <row r="344" spans="1:10" x14ac:dyDescent="0.3">
      <c r="A344" s="36">
        <f>IF(Values_Entered,A343+1,"")</f>
        <v>327</v>
      </c>
      <c r="B344" s="35">
        <f>IF(Pay_Num&lt;&gt;"",DATE(YEAR(Loan_Start),MONTH(Loan_Start)+(Pay_Num)*12/Num_Pmt_Per_Year,DAY(Loan_Start)),"")</f>
        <v>55335</v>
      </c>
      <c r="C344" s="70">
        <f>IF(Pay_Num&lt;&gt;"",I343,"")</f>
        <v>0</v>
      </c>
      <c r="D344" s="70">
        <f>IF(Pay_Num&lt;&gt;"",Scheduled_Monthly_Payment,"")</f>
        <v>2418.3976845093252</v>
      </c>
      <c r="E344" s="71">
        <f>IF(AND(Pay_Num&lt;&gt;"",Sched_Pay+Scheduled_Extra_Payments&lt;Beg_Bal),Scheduled_Extra_Payments,IF(AND(Pay_Num&lt;&gt;"",Beg_Bal-Sched_Pay&gt;0),Beg_Bal-Sched_Pay,IF(Pay_Num&lt;&gt;"",0,"")))</f>
        <v>0</v>
      </c>
      <c r="F344" s="70">
        <f>IF(AND(Pay_Num&lt;&gt;"",Sched_Pay+Extra_Pay&lt;Beg_Bal),Sched_Pay+Extra_Pay,IF(Pay_Num&lt;&gt;"",Beg_Bal,""))</f>
        <v>0</v>
      </c>
      <c r="G344" s="70">
        <f>IF(Pay_Num&lt;&gt;"",Total_Pay-Int,"")</f>
        <v>0</v>
      </c>
      <c r="H344" s="70">
        <f>IF(Pay_Num&lt;&gt;"",Beg_Bal*Interest_Rate/Num_Pmt_Per_Year,"")</f>
        <v>0</v>
      </c>
      <c r="I344" s="70">
        <f>IF(AND(Pay_Num&lt;&gt;"",Sched_Pay+Extra_Pay&lt;Beg_Bal),Beg_Bal-Princ,IF(Pay_Num&lt;&gt;"",0,""))</f>
        <v>0</v>
      </c>
      <c r="J344" s="70">
        <f>SUM($H$18:$H344)</f>
        <v>8041.5444282238004</v>
      </c>
    </row>
    <row r="345" spans="1:10" x14ac:dyDescent="0.3">
      <c r="A345" s="36">
        <f>IF(Values_Entered,A344+1,"")</f>
        <v>328</v>
      </c>
      <c r="B345" s="35">
        <f>IF(Pay_Num&lt;&gt;"",DATE(YEAR(Loan_Start),MONTH(Loan_Start)+(Pay_Num)*12/Num_Pmt_Per_Year,DAY(Loan_Start)),"")</f>
        <v>55366</v>
      </c>
      <c r="C345" s="70">
        <f>IF(Pay_Num&lt;&gt;"",I344,"")</f>
        <v>0</v>
      </c>
      <c r="D345" s="70">
        <f>IF(Pay_Num&lt;&gt;"",Scheduled_Monthly_Payment,"")</f>
        <v>2418.3976845093252</v>
      </c>
      <c r="E345" s="71">
        <f>IF(AND(Pay_Num&lt;&gt;"",Sched_Pay+Scheduled_Extra_Payments&lt;Beg_Bal),Scheduled_Extra_Payments,IF(AND(Pay_Num&lt;&gt;"",Beg_Bal-Sched_Pay&gt;0),Beg_Bal-Sched_Pay,IF(Pay_Num&lt;&gt;"",0,"")))</f>
        <v>0</v>
      </c>
      <c r="F345" s="70">
        <f>IF(AND(Pay_Num&lt;&gt;"",Sched_Pay+Extra_Pay&lt;Beg_Bal),Sched_Pay+Extra_Pay,IF(Pay_Num&lt;&gt;"",Beg_Bal,""))</f>
        <v>0</v>
      </c>
      <c r="G345" s="70">
        <f>IF(Pay_Num&lt;&gt;"",Total_Pay-Int,"")</f>
        <v>0</v>
      </c>
      <c r="H345" s="70">
        <f>IF(Pay_Num&lt;&gt;"",Beg_Bal*Interest_Rate/Num_Pmt_Per_Year,"")</f>
        <v>0</v>
      </c>
      <c r="I345" s="70">
        <f>IF(AND(Pay_Num&lt;&gt;"",Sched_Pay+Extra_Pay&lt;Beg_Bal),Beg_Bal-Princ,IF(Pay_Num&lt;&gt;"",0,""))</f>
        <v>0</v>
      </c>
      <c r="J345" s="70">
        <f>SUM($H$18:$H345)</f>
        <v>8041.5444282238004</v>
      </c>
    </row>
    <row r="346" spans="1:10" x14ac:dyDescent="0.3">
      <c r="A346" s="36">
        <f>IF(Values_Entered,A345+1,"")</f>
        <v>329</v>
      </c>
      <c r="B346" s="35">
        <f>IF(Pay_Num&lt;&gt;"",DATE(YEAR(Loan_Start),MONTH(Loan_Start)+(Pay_Num)*12/Num_Pmt_Per_Year,DAY(Loan_Start)),"")</f>
        <v>55397</v>
      </c>
      <c r="C346" s="70">
        <f>IF(Pay_Num&lt;&gt;"",I345,"")</f>
        <v>0</v>
      </c>
      <c r="D346" s="70">
        <f>IF(Pay_Num&lt;&gt;"",Scheduled_Monthly_Payment,"")</f>
        <v>2418.3976845093252</v>
      </c>
      <c r="E346" s="71">
        <f>IF(AND(Pay_Num&lt;&gt;"",Sched_Pay+Scheduled_Extra_Payments&lt;Beg_Bal),Scheduled_Extra_Payments,IF(AND(Pay_Num&lt;&gt;"",Beg_Bal-Sched_Pay&gt;0),Beg_Bal-Sched_Pay,IF(Pay_Num&lt;&gt;"",0,"")))</f>
        <v>0</v>
      </c>
      <c r="F346" s="70">
        <f>IF(AND(Pay_Num&lt;&gt;"",Sched_Pay+Extra_Pay&lt;Beg_Bal),Sched_Pay+Extra_Pay,IF(Pay_Num&lt;&gt;"",Beg_Bal,""))</f>
        <v>0</v>
      </c>
      <c r="G346" s="70">
        <f>IF(Pay_Num&lt;&gt;"",Total_Pay-Int,"")</f>
        <v>0</v>
      </c>
      <c r="H346" s="70">
        <f>IF(Pay_Num&lt;&gt;"",Beg_Bal*Interest_Rate/Num_Pmt_Per_Year,"")</f>
        <v>0</v>
      </c>
      <c r="I346" s="70">
        <f>IF(AND(Pay_Num&lt;&gt;"",Sched_Pay+Extra_Pay&lt;Beg_Bal),Beg_Bal-Princ,IF(Pay_Num&lt;&gt;"",0,""))</f>
        <v>0</v>
      </c>
      <c r="J346" s="70">
        <f>SUM($H$18:$H346)</f>
        <v>8041.5444282238004</v>
      </c>
    </row>
    <row r="347" spans="1:10" x14ac:dyDescent="0.3">
      <c r="A347" s="36">
        <f>IF(Values_Entered,A346+1,"")</f>
        <v>330</v>
      </c>
      <c r="B347" s="35">
        <f>IF(Pay_Num&lt;&gt;"",DATE(YEAR(Loan_Start),MONTH(Loan_Start)+(Pay_Num)*12/Num_Pmt_Per_Year,DAY(Loan_Start)),"")</f>
        <v>55427</v>
      </c>
      <c r="C347" s="70">
        <f>IF(Pay_Num&lt;&gt;"",I346,"")</f>
        <v>0</v>
      </c>
      <c r="D347" s="70">
        <f>IF(Pay_Num&lt;&gt;"",Scheduled_Monthly_Payment,"")</f>
        <v>2418.3976845093252</v>
      </c>
      <c r="E347" s="71">
        <f>IF(AND(Pay_Num&lt;&gt;"",Sched_Pay+Scheduled_Extra_Payments&lt;Beg_Bal),Scheduled_Extra_Payments,IF(AND(Pay_Num&lt;&gt;"",Beg_Bal-Sched_Pay&gt;0),Beg_Bal-Sched_Pay,IF(Pay_Num&lt;&gt;"",0,"")))</f>
        <v>0</v>
      </c>
      <c r="F347" s="70">
        <f>IF(AND(Pay_Num&lt;&gt;"",Sched_Pay+Extra_Pay&lt;Beg_Bal),Sched_Pay+Extra_Pay,IF(Pay_Num&lt;&gt;"",Beg_Bal,""))</f>
        <v>0</v>
      </c>
      <c r="G347" s="70">
        <f>IF(Pay_Num&lt;&gt;"",Total_Pay-Int,"")</f>
        <v>0</v>
      </c>
      <c r="H347" s="70">
        <f>IF(Pay_Num&lt;&gt;"",Beg_Bal*Interest_Rate/Num_Pmt_Per_Year,"")</f>
        <v>0</v>
      </c>
      <c r="I347" s="70">
        <f>IF(AND(Pay_Num&lt;&gt;"",Sched_Pay+Extra_Pay&lt;Beg_Bal),Beg_Bal-Princ,IF(Pay_Num&lt;&gt;"",0,""))</f>
        <v>0</v>
      </c>
      <c r="J347" s="70">
        <f>SUM($H$18:$H347)</f>
        <v>8041.5444282238004</v>
      </c>
    </row>
    <row r="348" spans="1:10" x14ac:dyDescent="0.3">
      <c r="A348" s="36">
        <f>IF(Values_Entered,A347+1,"")</f>
        <v>331</v>
      </c>
      <c r="B348" s="35">
        <f>IF(Pay_Num&lt;&gt;"",DATE(YEAR(Loan_Start),MONTH(Loan_Start)+(Pay_Num)*12/Num_Pmt_Per_Year,DAY(Loan_Start)),"")</f>
        <v>55458</v>
      </c>
      <c r="C348" s="70">
        <f>IF(Pay_Num&lt;&gt;"",I347,"")</f>
        <v>0</v>
      </c>
      <c r="D348" s="70">
        <f>IF(Pay_Num&lt;&gt;"",Scheduled_Monthly_Payment,"")</f>
        <v>2418.3976845093252</v>
      </c>
      <c r="E348" s="71">
        <f>IF(AND(Pay_Num&lt;&gt;"",Sched_Pay+Scheduled_Extra_Payments&lt;Beg_Bal),Scheduled_Extra_Payments,IF(AND(Pay_Num&lt;&gt;"",Beg_Bal-Sched_Pay&gt;0),Beg_Bal-Sched_Pay,IF(Pay_Num&lt;&gt;"",0,"")))</f>
        <v>0</v>
      </c>
      <c r="F348" s="70">
        <f>IF(AND(Pay_Num&lt;&gt;"",Sched_Pay+Extra_Pay&lt;Beg_Bal),Sched_Pay+Extra_Pay,IF(Pay_Num&lt;&gt;"",Beg_Bal,""))</f>
        <v>0</v>
      </c>
      <c r="G348" s="70">
        <f>IF(Pay_Num&lt;&gt;"",Total_Pay-Int,"")</f>
        <v>0</v>
      </c>
      <c r="H348" s="70">
        <f>IF(Pay_Num&lt;&gt;"",Beg_Bal*Interest_Rate/Num_Pmt_Per_Year,"")</f>
        <v>0</v>
      </c>
      <c r="I348" s="70">
        <f>IF(AND(Pay_Num&lt;&gt;"",Sched_Pay+Extra_Pay&lt;Beg_Bal),Beg_Bal-Princ,IF(Pay_Num&lt;&gt;"",0,""))</f>
        <v>0</v>
      </c>
      <c r="J348" s="70">
        <f>SUM($H$18:$H348)</f>
        <v>8041.5444282238004</v>
      </c>
    </row>
    <row r="349" spans="1:10" x14ac:dyDescent="0.3">
      <c r="A349" s="36">
        <f>IF(Values_Entered,A348+1,"")</f>
        <v>332</v>
      </c>
      <c r="B349" s="35">
        <f>IF(Pay_Num&lt;&gt;"",DATE(YEAR(Loan_Start),MONTH(Loan_Start)+(Pay_Num)*12/Num_Pmt_Per_Year,DAY(Loan_Start)),"")</f>
        <v>55488</v>
      </c>
      <c r="C349" s="70">
        <f>IF(Pay_Num&lt;&gt;"",I348,"")</f>
        <v>0</v>
      </c>
      <c r="D349" s="70">
        <f>IF(Pay_Num&lt;&gt;"",Scheduled_Monthly_Payment,"")</f>
        <v>2418.3976845093252</v>
      </c>
      <c r="E349" s="71">
        <f>IF(AND(Pay_Num&lt;&gt;"",Sched_Pay+Scheduled_Extra_Payments&lt;Beg_Bal),Scheduled_Extra_Payments,IF(AND(Pay_Num&lt;&gt;"",Beg_Bal-Sched_Pay&gt;0),Beg_Bal-Sched_Pay,IF(Pay_Num&lt;&gt;"",0,"")))</f>
        <v>0</v>
      </c>
      <c r="F349" s="70">
        <f>IF(AND(Pay_Num&lt;&gt;"",Sched_Pay+Extra_Pay&lt;Beg_Bal),Sched_Pay+Extra_Pay,IF(Pay_Num&lt;&gt;"",Beg_Bal,""))</f>
        <v>0</v>
      </c>
      <c r="G349" s="70">
        <f>IF(Pay_Num&lt;&gt;"",Total_Pay-Int,"")</f>
        <v>0</v>
      </c>
      <c r="H349" s="70">
        <f>IF(Pay_Num&lt;&gt;"",Beg_Bal*Interest_Rate/Num_Pmt_Per_Year,"")</f>
        <v>0</v>
      </c>
      <c r="I349" s="70">
        <f>IF(AND(Pay_Num&lt;&gt;"",Sched_Pay+Extra_Pay&lt;Beg_Bal),Beg_Bal-Princ,IF(Pay_Num&lt;&gt;"",0,""))</f>
        <v>0</v>
      </c>
      <c r="J349" s="70">
        <f>SUM($H$18:$H349)</f>
        <v>8041.5444282238004</v>
      </c>
    </row>
    <row r="350" spans="1:10" x14ac:dyDescent="0.3">
      <c r="A350" s="36">
        <f>IF(Values_Entered,A349+1,"")</f>
        <v>333</v>
      </c>
      <c r="B350" s="35">
        <f>IF(Pay_Num&lt;&gt;"",DATE(YEAR(Loan_Start),MONTH(Loan_Start)+(Pay_Num)*12/Num_Pmt_Per_Year,DAY(Loan_Start)),"")</f>
        <v>55519</v>
      </c>
      <c r="C350" s="70">
        <f>IF(Pay_Num&lt;&gt;"",I349,"")</f>
        <v>0</v>
      </c>
      <c r="D350" s="70">
        <f>IF(Pay_Num&lt;&gt;"",Scheduled_Monthly_Payment,"")</f>
        <v>2418.3976845093252</v>
      </c>
      <c r="E350" s="71">
        <f>IF(AND(Pay_Num&lt;&gt;"",Sched_Pay+Scheduled_Extra_Payments&lt;Beg_Bal),Scheduled_Extra_Payments,IF(AND(Pay_Num&lt;&gt;"",Beg_Bal-Sched_Pay&gt;0),Beg_Bal-Sched_Pay,IF(Pay_Num&lt;&gt;"",0,"")))</f>
        <v>0</v>
      </c>
      <c r="F350" s="70">
        <f>IF(AND(Pay_Num&lt;&gt;"",Sched_Pay+Extra_Pay&lt;Beg_Bal),Sched_Pay+Extra_Pay,IF(Pay_Num&lt;&gt;"",Beg_Bal,""))</f>
        <v>0</v>
      </c>
      <c r="G350" s="70">
        <f>IF(Pay_Num&lt;&gt;"",Total_Pay-Int,"")</f>
        <v>0</v>
      </c>
      <c r="H350" s="70">
        <f>IF(Pay_Num&lt;&gt;"",Beg_Bal*Interest_Rate/Num_Pmt_Per_Year,"")</f>
        <v>0</v>
      </c>
      <c r="I350" s="70">
        <f>IF(AND(Pay_Num&lt;&gt;"",Sched_Pay+Extra_Pay&lt;Beg_Bal),Beg_Bal-Princ,IF(Pay_Num&lt;&gt;"",0,""))</f>
        <v>0</v>
      </c>
      <c r="J350" s="70">
        <f>SUM($H$18:$H350)</f>
        <v>8041.5444282238004</v>
      </c>
    </row>
    <row r="351" spans="1:10" x14ac:dyDescent="0.3">
      <c r="A351" s="36">
        <f>IF(Values_Entered,A350+1,"")</f>
        <v>334</v>
      </c>
      <c r="B351" s="35">
        <f>IF(Pay_Num&lt;&gt;"",DATE(YEAR(Loan_Start),MONTH(Loan_Start)+(Pay_Num)*12/Num_Pmt_Per_Year,DAY(Loan_Start)),"")</f>
        <v>55550</v>
      </c>
      <c r="C351" s="70">
        <f>IF(Pay_Num&lt;&gt;"",I350,"")</f>
        <v>0</v>
      </c>
      <c r="D351" s="70">
        <f>IF(Pay_Num&lt;&gt;"",Scheduled_Monthly_Payment,"")</f>
        <v>2418.3976845093252</v>
      </c>
      <c r="E351" s="71">
        <f>IF(AND(Pay_Num&lt;&gt;"",Sched_Pay+Scheduled_Extra_Payments&lt;Beg_Bal),Scheduled_Extra_Payments,IF(AND(Pay_Num&lt;&gt;"",Beg_Bal-Sched_Pay&gt;0),Beg_Bal-Sched_Pay,IF(Pay_Num&lt;&gt;"",0,"")))</f>
        <v>0</v>
      </c>
      <c r="F351" s="70">
        <f>IF(AND(Pay_Num&lt;&gt;"",Sched_Pay+Extra_Pay&lt;Beg_Bal),Sched_Pay+Extra_Pay,IF(Pay_Num&lt;&gt;"",Beg_Bal,""))</f>
        <v>0</v>
      </c>
      <c r="G351" s="70">
        <f>IF(Pay_Num&lt;&gt;"",Total_Pay-Int,"")</f>
        <v>0</v>
      </c>
      <c r="H351" s="70">
        <f>IF(Pay_Num&lt;&gt;"",Beg_Bal*Interest_Rate/Num_Pmt_Per_Year,"")</f>
        <v>0</v>
      </c>
      <c r="I351" s="70">
        <f>IF(AND(Pay_Num&lt;&gt;"",Sched_Pay+Extra_Pay&lt;Beg_Bal),Beg_Bal-Princ,IF(Pay_Num&lt;&gt;"",0,""))</f>
        <v>0</v>
      </c>
      <c r="J351" s="70">
        <f>SUM($H$18:$H351)</f>
        <v>8041.5444282238004</v>
      </c>
    </row>
    <row r="352" spans="1:10" x14ac:dyDescent="0.3">
      <c r="A352" s="36">
        <f>IF(Values_Entered,A351+1,"")</f>
        <v>335</v>
      </c>
      <c r="B352" s="35">
        <f>IF(Pay_Num&lt;&gt;"",DATE(YEAR(Loan_Start),MONTH(Loan_Start)+(Pay_Num)*12/Num_Pmt_Per_Year,DAY(Loan_Start)),"")</f>
        <v>55579</v>
      </c>
      <c r="C352" s="70">
        <f>IF(Pay_Num&lt;&gt;"",I351,"")</f>
        <v>0</v>
      </c>
      <c r="D352" s="70">
        <f>IF(Pay_Num&lt;&gt;"",Scheduled_Monthly_Payment,"")</f>
        <v>2418.3976845093252</v>
      </c>
      <c r="E352" s="71">
        <f>IF(AND(Pay_Num&lt;&gt;"",Sched_Pay+Scheduled_Extra_Payments&lt;Beg_Bal),Scheduled_Extra_Payments,IF(AND(Pay_Num&lt;&gt;"",Beg_Bal-Sched_Pay&gt;0),Beg_Bal-Sched_Pay,IF(Pay_Num&lt;&gt;"",0,"")))</f>
        <v>0</v>
      </c>
      <c r="F352" s="70">
        <f>IF(AND(Pay_Num&lt;&gt;"",Sched_Pay+Extra_Pay&lt;Beg_Bal),Sched_Pay+Extra_Pay,IF(Pay_Num&lt;&gt;"",Beg_Bal,""))</f>
        <v>0</v>
      </c>
      <c r="G352" s="70">
        <f>IF(Pay_Num&lt;&gt;"",Total_Pay-Int,"")</f>
        <v>0</v>
      </c>
      <c r="H352" s="70">
        <f>IF(Pay_Num&lt;&gt;"",Beg_Bal*Interest_Rate/Num_Pmt_Per_Year,"")</f>
        <v>0</v>
      </c>
      <c r="I352" s="70">
        <f>IF(AND(Pay_Num&lt;&gt;"",Sched_Pay+Extra_Pay&lt;Beg_Bal),Beg_Bal-Princ,IF(Pay_Num&lt;&gt;"",0,""))</f>
        <v>0</v>
      </c>
      <c r="J352" s="70">
        <f>SUM($H$18:$H352)</f>
        <v>8041.5444282238004</v>
      </c>
    </row>
    <row r="353" spans="1:10" x14ac:dyDescent="0.3">
      <c r="A353" s="36">
        <f>IF(Values_Entered,A352+1,"")</f>
        <v>336</v>
      </c>
      <c r="B353" s="35">
        <f>IF(Pay_Num&lt;&gt;"",DATE(YEAR(Loan_Start),MONTH(Loan_Start)+(Pay_Num)*12/Num_Pmt_Per_Year,DAY(Loan_Start)),"")</f>
        <v>55610</v>
      </c>
      <c r="C353" s="70">
        <f>IF(Pay_Num&lt;&gt;"",I352,"")</f>
        <v>0</v>
      </c>
      <c r="D353" s="70">
        <f>IF(Pay_Num&lt;&gt;"",Scheduled_Monthly_Payment,"")</f>
        <v>2418.3976845093252</v>
      </c>
      <c r="E353" s="71">
        <f>IF(AND(Pay_Num&lt;&gt;"",Sched_Pay+Scheduled_Extra_Payments&lt;Beg_Bal),Scheduled_Extra_Payments,IF(AND(Pay_Num&lt;&gt;"",Beg_Bal-Sched_Pay&gt;0),Beg_Bal-Sched_Pay,IF(Pay_Num&lt;&gt;"",0,"")))</f>
        <v>0</v>
      </c>
      <c r="F353" s="70">
        <f>IF(AND(Pay_Num&lt;&gt;"",Sched_Pay+Extra_Pay&lt;Beg_Bal),Sched_Pay+Extra_Pay,IF(Pay_Num&lt;&gt;"",Beg_Bal,""))</f>
        <v>0</v>
      </c>
      <c r="G353" s="70">
        <f>IF(Pay_Num&lt;&gt;"",Total_Pay-Int,"")</f>
        <v>0</v>
      </c>
      <c r="H353" s="70">
        <f>IF(Pay_Num&lt;&gt;"",Beg_Bal*Interest_Rate/Num_Pmt_Per_Year,"")</f>
        <v>0</v>
      </c>
      <c r="I353" s="70">
        <f>IF(AND(Pay_Num&lt;&gt;"",Sched_Pay+Extra_Pay&lt;Beg_Bal),Beg_Bal-Princ,IF(Pay_Num&lt;&gt;"",0,""))</f>
        <v>0</v>
      </c>
      <c r="J353" s="70">
        <f>SUM($H$18:$H353)</f>
        <v>8041.5444282238004</v>
      </c>
    </row>
    <row r="354" spans="1:10" x14ac:dyDescent="0.3">
      <c r="A354" s="36">
        <f>IF(Values_Entered,A353+1,"")</f>
        <v>337</v>
      </c>
      <c r="B354" s="35">
        <f>IF(Pay_Num&lt;&gt;"",DATE(YEAR(Loan_Start),MONTH(Loan_Start)+(Pay_Num)*12/Num_Pmt_Per_Year,DAY(Loan_Start)),"")</f>
        <v>55640</v>
      </c>
      <c r="C354" s="70">
        <f>IF(Pay_Num&lt;&gt;"",I353,"")</f>
        <v>0</v>
      </c>
      <c r="D354" s="70">
        <f>IF(Pay_Num&lt;&gt;"",Scheduled_Monthly_Payment,"")</f>
        <v>2418.3976845093252</v>
      </c>
      <c r="E354" s="71">
        <f>IF(AND(Pay_Num&lt;&gt;"",Sched_Pay+Scheduled_Extra_Payments&lt;Beg_Bal),Scheduled_Extra_Payments,IF(AND(Pay_Num&lt;&gt;"",Beg_Bal-Sched_Pay&gt;0),Beg_Bal-Sched_Pay,IF(Pay_Num&lt;&gt;"",0,"")))</f>
        <v>0</v>
      </c>
      <c r="F354" s="70">
        <f>IF(AND(Pay_Num&lt;&gt;"",Sched_Pay+Extra_Pay&lt;Beg_Bal),Sched_Pay+Extra_Pay,IF(Pay_Num&lt;&gt;"",Beg_Bal,""))</f>
        <v>0</v>
      </c>
      <c r="G354" s="70">
        <f>IF(Pay_Num&lt;&gt;"",Total_Pay-Int,"")</f>
        <v>0</v>
      </c>
      <c r="H354" s="70">
        <f>IF(Pay_Num&lt;&gt;"",Beg_Bal*Interest_Rate/Num_Pmt_Per_Year,"")</f>
        <v>0</v>
      </c>
      <c r="I354" s="70">
        <f>IF(AND(Pay_Num&lt;&gt;"",Sched_Pay+Extra_Pay&lt;Beg_Bal),Beg_Bal-Princ,IF(Pay_Num&lt;&gt;"",0,""))</f>
        <v>0</v>
      </c>
      <c r="J354" s="70">
        <f>SUM($H$18:$H354)</f>
        <v>8041.5444282238004</v>
      </c>
    </row>
    <row r="355" spans="1:10" x14ac:dyDescent="0.3">
      <c r="A355" s="36">
        <f>IF(Values_Entered,A354+1,"")</f>
        <v>338</v>
      </c>
      <c r="B355" s="35">
        <f>IF(Pay_Num&lt;&gt;"",DATE(YEAR(Loan_Start),MONTH(Loan_Start)+(Pay_Num)*12/Num_Pmt_Per_Year,DAY(Loan_Start)),"")</f>
        <v>55671</v>
      </c>
      <c r="C355" s="70">
        <f>IF(Pay_Num&lt;&gt;"",I354,"")</f>
        <v>0</v>
      </c>
      <c r="D355" s="70">
        <f>IF(Pay_Num&lt;&gt;"",Scheduled_Monthly_Payment,"")</f>
        <v>2418.3976845093252</v>
      </c>
      <c r="E355" s="71">
        <f>IF(AND(Pay_Num&lt;&gt;"",Sched_Pay+Scheduled_Extra_Payments&lt;Beg_Bal),Scheduled_Extra_Payments,IF(AND(Pay_Num&lt;&gt;"",Beg_Bal-Sched_Pay&gt;0),Beg_Bal-Sched_Pay,IF(Pay_Num&lt;&gt;"",0,"")))</f>
        <v>0</v>
      </c>
      <c r="F355" s="70">
        <f>IF(AND(Pay_Num&lt;&gt;"",Sched_Pay+Extra_Pay&lt;Beg_Bal),Sched_Pay+Extra_Pay,IF(Pay_Num&lt;&gt;"",Beg_Bal,""))</f>
        <v>0</v>
      </c>
      <c r="G355" s="70">
        <f>IF(Pay_Num&lt;&gt;"",Total_Pay-Int,"")</f>
        <v>0</v>
      </c>
      <c r="H355" s="70">
        <f>IF(Pay_Num&lt;&gt;"",Beg_Bal*Interest_Rate/Num_Pmt_Per_Year,"")</f>
        <v>0</v>
      </c>
      <c r="I355" s="70">
        <f>IF(AND(Pay_Num&lt;&gt;"",Sched_Pay+Extra_Pay&lt;Beg_Bal),Beg_Bal-Princ,IF(Pay_Num&lt;&gt;"",0,""))</f>
        <v>0</v>
      </c>
      <c r="J355" s="70">
        <f>SUM($H$18:$H355)</f>
        <v>8041.5444282238004</v>
      </c>
    </row>
    <row r="356" spans="1:10" x14ac:dyDescent="0.3">
      <c r="A356" s="36">
        <f>IF(Values_Entered,A355+1,"")</f>
        <v>339</v>
      </c>
      <c r="B356" s="35">
        <f>IF(Pay_Num&lt;&gt;"",DATE(YEAR(Loan_Start),MONTH(Loan_Start)+(Pay_Num)*12/Num_Pmt_Per_Year,DAY(Loan_Start)),"")</f>
        <v>55701</v>
      </c>
      <c r="C356" s="70">
        <f>IF(Pay_Num&lt;&gt;"",I355,"")</f>
        <v>0</v>
      </c>
      <c r="D356" s="70">
        <f>IF(Pay_Num&lt;&gt;"",Scheduled_Monthly_Payment,"")</f>
        <v>2418.3976845093252</v>
      </c>
      <c r="E356" s="71">
        <f>IF(AND(Pay_Num&lt;&gt;"",Sched_Pay+Scheduled_Extra_Payments&lt;Beg_Bal),Scheduled_Extra_Payments,IF(AND(Pay_Num&lt;&gt;"",Beg_Bal-Sched_Pay&gt;0),Beg_Bal-Sched_Pay,IF(Pay_Num&lt;&gt;"",0,"")))</f>
        <v>0</v>
      </c>
      <c r="F356" s="70">
        <f>IF(AND(Pay_Num&lt;&gt;"",Sched_Pay+Extra_Pay&lt;Beg_Bal),Sched_Pay+Extra_Pay,IF(Pay_Num&lt;&gt;"",Beg_Bal,""))</f>
        <v>0</v>
      </c>
      <c r="G356" s="70">
        <f>IF(Pay_Num&lt;&gt;"",Total_Pay-Int,"")</f>
        <v>0</v>
      </c>
      <c r="H356" s="70">
        <f>IF(Pay_Num&lt;&gt;"",Beg_Bal*Interest_Rate/Num_Pmt_Per_Year,"")</f>
        <v>0</v>
      </c>
      <c r="I356" s="70">
        <f>IF(AND(Pay_Num&lt;&gt;"",Sched_Pay+Extra_Pay&lt;Beg_Bal),Beg_Bal-Princ,IF(Pay_Num&lt;&gt;"",0,""))</f>
        <v>0</v>
      </c>
      <c r="J356" s="70">
        <f>SUM($H$18:$H356)</f>
        <v>8041.5444282238004</v>
      </c>
    </row>
    <row r="357" spans="1:10" x14ac:dyDescent="0.3">
      <c r="A357" s="36">
        <f>IF(Values_Entered,A356+1,"")</f>
        <v>340</v>
      </c>
      <c r="B357" s="35">
        <f>IF(Pay_Num&lt;&gt;"",DATE(YEAR(Loan_Start),MONTH(Loan_Start)+(Pay_Num)*12/Num_Pmt_Per_Year,DAY(Loan_Start)),"")</f>
        <v>55732</v>
      </c>
      <c r="C357" s="70">
        <f>IF(Pay_Num&lt;&gt;"",I356,"")</f>
        <v>0</v>
      </c>
      <c r="D357" s="70">
        <f>IF(Pay_Num&lt;&gt;"",Scheduled_Monthly_Payment,"")</f>
        <v>2418.3976845093252</v>
      </c>
      <c r="E357" s="71">
        <f>IF(AND(Pay_Num&lt;&gt;"",Sched_Pay+Scheduled_Extra_Payments&lt;Beg_Bal),Scheduled_Extra_Payments,IF(AND(Pay_Num&lt;&gt;"",Beg_Bal-Sched_Pay&gt;0),Beg_Bal-Sched_Pay,IF(Pay_Num&lt;&gt;"",0,"")))</f>
        <v>0</v>
      </c>
      <c r="F357" s="70">
        <f>IF(AND(Pay_Num&lt;&gt;"",Sched_Pay+Extra_Pay&lt;Beg_Bal),Sched_Pay+Extra_Pay,IF(Pay_Num&lt;&gt;"",Beg_Bal,""))</f>
        <v>0</v>
      </c>
      <c r="G357" s="70">
        <f>IF(Pay_Num&lt;&gt;"",Total_Pay-Int,"")</f>
        <v>0</v>
      </c>
      <c r="H357" s="70">
        <f>IF(Pay_Num&lt;&gt;"",Beg_Bal*Interest_Rate/Num_Pmt_Per_Year,"")</f>
        <v>0</v>
      </c>
      <c r="I357" s="70">
        <f>IF(AND(Pay_Num&lt;&gt;"",Sched_Pay+Extra_Pay&lt;Beg_Bal),Beg_Bal-Princ,IF(Pay_Num&lt;&gt;"",0,""))</f>
        <v>0</v>
      </c>
      <c r="J357" s="70">
        <f>SUM($H$18:$H357)</f>
        <v>8041.5444282238004</v>
      </c>
    </row>
    <row r="358" spans="1:10" x14ac:dyDescent="0.3">
      <c r="A358" s="36">
        <f>IF(Values_Entered,A357+1,"")</f>
        <v>341</v>
      </c>
      <c r="B358" s="35">
        <f>IF(Pay_Num&lt;&gt;"",DATE(YEAR(Loan_Start),MONTH(Loan_Start)+(Pay_Num)*12/Num_Pmt_Per_Year,DAY(Loan_Start)),"")</f>
        <v>55763</v>
      </c>
      <c r="C358" s="70">
        <f>IF(Pay_Num&lt;&gt;"",I357,"")</f>
        <v>0</v>
      </c>
      <c r="D358" s="70">
        <f>IF(Pay_Num&lt;&gt;"",Scheduled_Monthly_Payment,"")</f>
        <v>2418.3976845093252</v>
      </c>
      <c r="E358" s="71">
        <f>IF(AND(Pay_Num&lt;&gt;"",Sched_Pay+Scheduled_Extra_Payments&lt;Beg_Bal),Scheduled_Extra_Payments,IF(AND(Pay_Num&lt;&gt;"",Beg_Bal-Sched_Pay&gt;0),Beg_Bal-Sched_Pay,IF(Pay_Num&lt;&gt;"",0,"")))</f>
        <v>0</v>
      </c>
      <c r="F358" s="70">
        <f>IF(AND(Pay_Num&lt;&gt;"",Sched_Pay+Extra_Pay&lt;Beg_Bal),Sched_Pay+Extra_Pay,IF(Pay_Num&lt;&gt;"",Beg_Bal,""))</f>
        <v>0</v>
      </c>
      <c r="G358" s="70">
        <f>IF(Pay_Num&lt;&gt;"",Total_Pay-Int,"")</f>
        <v>0</v>
      </c>
      <c r="H358" s="70">
        <f>IF(Pay_Num&lt;&gt;"",Beg_Bal*Interest_Rate/Num_Pmt_Per_Year,"")</f>
        <v>0</v>
      </c>
      <c r="I358" s="70">
        <f>IF(AND(Pay_Num&lt;&gt;"",Sched_Pay+Extra_Pay&lt;Beg_Bal),Beg_Bal-Princ,IF(Pay_Num&lt;&gt;"",0,""))</f>
        <v>0</v>
      </c>
      <c r="J358" s="70">
        <f>SUM($H$18:$H358)</f>
        <v>8041.5444282238004</v>
      </c>
    </row>
    <row r="359" spans="1:10" x14ac:dyDescent="0.3">
      <c r="A359" s="36">
        <f>IF(Values_Entered,A358+1,"")</f>
        <v>342</v>
      </c>
      <c r="B359" s="35">
        <f>IF(Pay_Num&lt;&gt;"",DATE(YEAR(Loan_Start),MONTH(Loan_Start)+(Pay_Num)*12/Num_Pmt_Per_Year,DAY(Loan_Start)),"")</f>
        <v>55793</v>
      </c>
      <c r="C359" s="70">
        <f>IF(Pay_Num&lt;&gt;"",I358,"")</f>
        <v>0</v>
      </c>
      <c r="D359" s="70">
        <f>IF(Pay_Num&lt;&gt;"",Scheduled_Monthly_Payment,"")</f>
        <v>2418.3976845093252</v>
      </c>
      <c r="E359" s="71">
        <f>IF(AND(Pay_Num&lt;&gt;"",Sched_Pay+Scheduled_Extra_Payments&lt;Beg_Bal),Scheduled_Extra_Payments,IF(AND(Pay_Num&lt;&gt;"",Beg_Bal-Sched_Pay&gt;0),Beg_Bal-Sched_Pay,IF(Pay_Num&lt;&gt;"",0,"")))</f>
        <v>0</v>
      </c>
      <c r="F359" s="70">
        <f>IF(AND(Pay_Num&lt;&gt;"",Sched_Pay+Extra_Pay&lt;Beg_Bal),Sched_Pay+Extra_Pay,IF(Pay_Num&lt;&gt;"",Beg_Bal,""))</f>
        <v>0</v>
      </c>
      <c r="G359" s="70">
        <f>IF(Pay_Num&lt;&gt;"",Total_Pay-Int,"")</f>
        <v>0</v>
      </c>
      <c r="H359" s="70">
        <f>IF(Pay_Num&lt;&gt;"",Beg_Bal*Interest_Rate/Num_Pmt_Per_Year,"")</f>
        <v>0</v>
      </c>
      <c r="I359" s="70">
        <f>IF(AND(Pay_Num&lt;&gt;"",Sched_Pay+Extra_Pay&lt;Beg_Bal),Beg_Bal-Princ,IF(Pay_Num&lt;&gt;"",0,""))</f>
        <v>0</v>
      </c>
      <c r="J359" s="70">
        <f>SUM($H$18:$H359)</f>
        <v>8041.5444282238004</v>
      </c>
    </row>
    <row r="360" spans="1:10" x14ac:dyDescent="0.3">
      <c r="A360" s="36">
        <f>IF(Values_Entered,A359+1,"")</f>
        <v>343</v>
      </c>
      <c r="B360" s="35">
        <f>IF(Pay_Num&lt;&gt;"",DATE(YEAR(Loan_Start),MONTH(Loan_Start)+(Pay_Num)*12/Num_Pmt_Per_Year,DAY(Loan_Start)),"")</f>
        <v>55824</v>
      </c>
      <c r="C360" s="70">
        <f>IF(Pay_Num&lt;&gt;"",I359,"")</f>
        <v>0</v>
      </c>
      <c r="D360" s="70">
        <f>IF(Pay_Num&lt;&gt;"",Scheduled_Monthly_Payment,"")</f>
        <v>2418.3976845093252</v>
      </c>
      <c r="E360" s="71">
        <f>IF(AND(Pay_Num&lt;&gt;"",Sched_Pay+Scheduled_Extra_Payments&lt;Beg_Bal),Scheduled_Extra_Payments,IF(AND(Pay_Num&lt;&gt;"",Beg_Bal-Sched_Pay&gt;0),Beg_Bal-Sched_Pay,IF(Pay_Num&lt;&gt;"",0,"")))</f>
        <v>0</v>
      </c>
      <c r="F360" s="70">
        <f>IF(AND(Pay_Num&lt;&gt;"",Sched_Pay+Extra_Pay&lt;Beg_Bal),Sched_Pay+Extra_Pay,IF(Pay_Num&lt;&gt;"",Beg_Bal,""))</f>
        <v>0</v>
      </c>
      <c r="G360" s="70">
        <f>IF(Pay_Num&lt;&gt;"",Total_Pay-Int,"")</f>
        <v>0</v>
      </c>
      <c r="H360" s="70">
        <f>IF(Pay_Num&lt;&gt;"",Beg_Bal*Interest_Rate/Num_Pmt_Per_Year,"")</f>
        <v>0</v>
      </c>
      <c r="I360" s="70">
        <f>IF(AND(Pay_Num&lt;&gt;"",Sched_Pay+Extra_Pay&lt;Beg_Bal),Beg_Bal-Princ,IF(Pay_Num&lt;&gt;"",0,""))</f>
        <v>0</v>
      </c>
      <c r="J360" s="70">
        <f>SUM($H$18:$H360)</f>
        <v>8041.5444282238004</v>
      </c>
    </row>
    <row r="361" spans="1:10" x14ac:dyDescent="0.3">
      <c r="A361" s="36">
        <f>IF(Values_Entered,A360+1,"")</f>
        <v>344</v>
      </c>
      <c r="B361" s="35">
        <f>IF(Pay_Num&lt;&gt;"",DATE(YEAR(Loan_Start),MONTH(Loan_Start)+(Pay_Num)*12/Num_Pmt_Per_Year,DAY(Loan_Start)),"")</f>
        <v>55854</v>
      </c>
      <c r="C361" s="70">
        <f>IF(Pay_Num&lt;&gt;"",I360,"")</f>
        <v>0</v>
      </c>
      <c r="D361" s="70">
        <f>IF(Pay_Num&lt;&gt;"",Scheduled_Monthly_Payment,"")</f>
        <v>2418.3976845093252</v>
      </c>
      <c r="E361" s="71">
        <f>IF(AND(Pay_Num&lt;&gt;"",Sched_Pay+Scheduled_Extra_Payments&lt;Beg_Bal),Scheduled_Extra_Payments,IF(AND(Pay_Num&lt;&gt;"",Beg_Bal-Sched_Pay&gt;0),Beg_Bal-Sched_Pay,IF(Pay_Num&lt;&gt;"",0,"")))</f>
        <v>0</v>
      </c>
      <c r="F361" s="70">
        <f>IF(AND(Pay_Num&lt;&gt;"",Sched_Pay+Extra_Pay&lt;Beg_Bal),Sched_Pay+Extra_Pay,IF(Pay_Num&lt;&gt;"",Beg_Bal,""))</f>
        <v>0</v>
      </c>
      <c r="G361" s="70">
        <f>IF(Pay_Num&lt;&gt;"",Total_Pay-Int,"")</f>
        <v>0</v>
      </c>
      <c r="H361" s="70">
        <f>IF(Pay_Num&lt;&gt;"",Beg_Bal*Interest_Rate/Num_Pmt_Per_Year,"")</f>
        <v>0</v>
      </c>
      <c r="I361" s="70">
        <f>IF(AND(Pay_Num&lt;&gt;"",Sched_Pay+Extra_Pay&lt;Beg_Bal),Beg_Bal-Princ,IF(Pay_Num&lt;&gt;"",0,""))</f>
        <v>0</v>
      </c>
      <c r="J361" s="70">
        <f>SUM($H$18:$H361)</f>
        <v>8041.5444282238004</v>
      </c>
    </row>
    <row r="362" spans="1:10" x14ac:dyDescent="0.3">
      <c r="A362" s="36">
        <f>IF(Values_Entered,A361+1,"")</f>
        <v>345</v>
      </c>
      <c r="B362" s="35">
        <f>IF(Pay_Num&lt;&gt;"",DATE(YEAR(Loan_Start),MONTH(Loan_Start)+(Pay_Num)*12/Num_Pmt_Per_Year,DAY(Loan_Start)),"")</f>
        <v>55885</v>
      </c>
      <c r="C362" s="70">
        <f>IF(Pay_Num&lt;&gt;"",I361,"")</f>
        <v>0</v>
      </c>
      <c r="D362" s="70">
        <f>IF(Pay_Num&lt;&gt;"",Scheduled_Monthly_Payment,"")</f>
        <v>2418.3976845093252</v>
      </c>
      <c r="E362" s="71">
        <f>IF(AND(Pay_Num&lt;&gt;"",Sched_Pay+Scheduled_Extra_Payments&lt;Beg_Bal),Scheduled_Extra_Payments,IF(AND(Pay_Num&lt;&gt;"",Beg_Bal-Sched_Pay&gt;0),Beg_Bal-Sched_Pay,IF(Pay_Num&lt;&gt;"",0,"")))</f>
        <v>0</v>
      </c>
      <c r="F362" s="70">
        <f>IF(AND(Pay_Num&lt;&gt;"",Sched_Pay+Extra_Pay&lt;Beg_Bal),Sched_Pay+Extra_Pay,IF(Pay_Num&lt;&gt;"",Beg_Bal,""))</f>
        <v>0</v>
      </c>
      <c r="G362" s="70">
        <f>IF(Pay_Num&lt;&gt;"",Total_Pay-Int,"")</f>
        <v>0</v>
      </c>
      <c r="H362" s="70">
        <f>IF(Pay_Num&lt;&gt;"",Beg_Bal*Interest_Rate/Num_Pmt_Per_Year,"")</f>
        <v>0</v>
      </c>
      <c r="I362" s="70">
        <f>IF(AND(Pay_Num&lt;&gt;"",Sched_Pay+Extra_Pay&lt;Beg_Bal),Beg_Bal-Princ,IF(Pay_Num&lt;&gt;"",0,""))</f>
        <v>0</v>
      </c>
      <c r="J362" s="70">
        <f>SUM($H$18:$H362)</f>
        <v>8041.5444282238004</v>
      </c>
    </row>
    <row r="363" spans="1:10" x14ac:dyDescent="0.3">
      <c r="A363" s="36">
        <f>IF(Values_Entered,A362+1,"")</f>
        <v>346</v>
      </c>
      <c r="B363" s="35">
        <f>IF(Pay_Num&lt;&gt;"",DATE(YEAR(Loan_Start),MONTH(Loan_Start)+(Pay_Num)*12/Num_Pmt_Per_Year,DAY(Loan_Start)),"")</f>
        <v>55916</v>
      </c>
      <c r="C363" s="70">
        <f>IF(Pay_Num&lt;&gt;"",I362,"")</f>
        <v>0</v>
      </c>
      <c r="D363" s="70">
        <f>IF(Pay_Num&lt;&gt;"",Scheduled_Monthly_Payment,"")</f>
        <v>2418.3976845093252</v>
      </c>
      <c r="E363" s="71">
        <f>IF(AND(Pay_Num&lt;&gt;"",Sched_Pay+Scheduled_Extra_Payments&lt;Beg_Bal),Scheduled_Extra_Payments,IF(AND(Pay_Num&lt;&gt;"",Beg_Bal-Sched_Pay&gt;0),Beg_Bal-Sched_Pay,IF(Pay_Num&lt;&gt;"",0,"")))</f>
        <v>0</v>
      </c>
      <c r="F363" s="70">
        <f>IF(AND(Pay_Num&lt;&gt;"",Sched_Pay+Extra_Pay&lt;Beg_Bal),Sched_Pay+Extra_Pay,IF(Pay_Num&lt;&gt;"",Beg_Bal,""))</f>
        <v>0</v>
      </c>
      <c r="G363" s="70">
        <f>IF(Pay_Num&lt;&gt;"",Total_Pay-Int,"")</f>
        <v>0</v>
      </c>
      <c r="H363" s="70">
        <f>IF(Pay_Num&lt;&gt;"",Beg_Bal*Interest_Rate/Num_Pmt_Per_Year,"")</f>
        <v>0</v>
      </c>
      <c r="I363" s="70">
        <f>IF(AND(Pay_Num&lt;&gt;"",Sched_Pay+Extra_Pay&lt;Beg_Bal),Beg_Bal-Princ,IF(Pay_Num&lt;&gt;"",0,""))</f>
        <v>0</v>
      </c>
      <c r="J363" s="70">
        <f>SUM($H$18:$H363)</f>
        <v>8041.5444282238004</v>
      </c>
    </row>
    <row r="364" spans="1:10" x14ac:dyDescent="0.3">
      <c r="A364" s="36">
        <f>IF(Values_Entered,A363+1,"")</f>
        <v>347</v>
      </c>
      <c r="B364" s="35">
        <f>IF(Pay_Num&lt;&gt;"",DATE(YEAR(Loan_Start),MONTH(Loan_Start)+(Pay_Num)*12/Num_Pmt_Per_Year,DAY(Loan_Start)),"")</f>
        <v>55944</v>
      </c>
      <c r="C364" s="70">
        <f>IF(Pay_Num&lt;&gt;"",I363,"")</f>
        <v>0</v>
      </c>
      <c r="D364" s="70">
        <f>IF(Pay_Num&lt;&gt;"",Scheduled_Monthly_Payment,"")</f>
        <v>2418.3976845093252</v>
      </c>
      <c r="E364" s="71">
        <f>IF(AND(Pay_Num&lt;&gt;"",Sched_Pay+Scheduled_Extra_Payments&lt;Beg_Bal),Scheduled_Extra_Payments,IF(AND(Pay_Num&lt;&gt;"",Beg_Bal-Sched_Pay&gt;0),Beg_Bal-Sched_Pay,IF(Pay_Num&lt;&gt;"",0,"")))</f>
        <v>0</v>
      </c>
      <c r="F364" s="70">
        <f>IF(AND(Pay_Num&lt;&gt;"",Sched_Pay+Extra_Pay&lt;Beg_Bal),Sched_Pay+Extra_Pay,IF(Pay_Num&lt;&gt;"",Beg_Bal,""))</f>
        <v>0</v>
      </c>
      <c r="G364" s="70">
        <f>IF(Pay_Num&lt;&gt;"",Total_Pay-Int,"")</f>
        <v>0</v>
      </c>
      <c r="H364" s="70">
        <f>IF(Pay_Num&lt;&gt;"",Beg_Bal*Interest_Rate/Num_Pmt_Per_Year,"")</f>
        <v>0</v>
      </c>
      <c r="I364" s="70">
        <f>IF(AND(Pay_Num&lt;&gt;"",Sched_Pay+Extra_Pay&lt;Beg_Bal),Beg_Bal-Princ,IF(Pay_Num&lt;&gt;"",0,""))</f>
        <v>0</v>
      </c>
      <c r="J364" s="70">
        <f>SUM($H$18:$H364)</f>
        <v>8041.5444282238004</v>
      </c>
    </row>
    <row r="365" spans="1:10" x14ac:dyDescent="0.3">
      <c r="A365" s="36">
        <f>IF(Values_Entered,A364+1,"")</f>
        <v>348</v>
      </c>
      <c r="B365" s="35">
        <f>IF(Pay_Num&lt;&gt;"",DATE(YEAR(Loan_Start),MONTH(Loan_Start)+(Pay_Num)*12/Num_Pmt_Per_Year,DAY(Loan_Start)),"")</f>
        <v>55975</v>
      </c>
      <c r="C365" s="70">
        <f>IF(Pay_Num&lt;&gt;"",I364,"")</f>
        <v>0</v>
      </c>
      <c r="D365" s="70">
        <f>IF(Pay_Num&lt;&gt;"",Scheduled_Monthly_Payment,"")</f>
        <v>2418.3976845093252</v>
      </c>
      <c r="E365" s="71">
        <f>IF(AND(Pay_Num&lt;&gt;"",Sched_Pay+Scheduled_Extra_Payments&lt;Beg_Bal),Scheduled_Extra_Payments,IF(AND(Pay_Num&lt;&gt;"",Beg_Bal-Sched_Pay&gt;0),Beg_Bal-Sched_Pay,IF(Pay_Num&lt;&gt;"",0,"")))</f>
        <v>0</v>
      </c>
      <c r="F365" s="70">
        <f>IF(AND(Pay_Num&lt;&gt;"",Sched_Pay+Extra_Pay&lt;Beg_Bal),Sched_Pay+Extra_Pay,IF(Pay_Num&lt;&gt;"",Beg_Bal,""))</f>
        <v>0</v>
      </c>
      <c r="G365" s="70">
        <f>IF(Pay_Num&lt;&gt;"",Total_Pay-Int,"")</f>
        <v>0</v>
      </c>
      <c r="H365" s="70">
        <f>IF(Pay_Num&lt;&gt;"",Beg_Bal*Interest_Rate/Num_Pmt_Per_Year,"")</f>
        <v>0</v>
      </c>
      <c r="I365" s="70">
        <f>IF(AND(Pay_Num&lt;&gt;"",Sched_Pay+Extra_Pay&lt;Beg_Bal),Beg_Bal-Princ,IF(Pay_Num&lt;&gt;"",0,""))</f>
        <v>0</v>
      </c>
      <c r="J365" s="70">
        <f>SUM($H$18:$H365)</f>
        <v>8041.5444282238004</v>
      </c>
    </row>
    <row r="366" spans="1:10" x14ac:dyDescent="0.3">
      <c r="A366" s="36">
        <f>IF(Values_Entered,A365+1,"")</f>
        <v>349</v>
      </c>
      <c r="B366" s="35">
        <f>IF(Pay_Num&lt;&gt;"",DATE(YEAR(Loan_Start),MONTH(Loan_Start)+(Pay_Num)*12/Num_Pmt_Per_Year,DAY(Loan_Start)),"")</f>
        <v>56005</v>
      </c>
      <c r="C366" s="70">
        <f>IF(Pay_Num&lt;&gt;"",I365,"")</f>
        <v>0</v>
      </c>
      <c r="D366" s="70">
        <f>IF(Pay_Num&lt;&gt;"",Scheduled_Monthly_Payment,"")</f>
        <v>2418.3976845093252</v>
      </c>
      <c r="E366" s="71">
        <f>IF(AND(Pay_Num&lt;&gt;"",Sched_Pay+Scheduled_Extra_Payments&lt;Beg_Bal),Scheduled_Extra_Payments,IF(AND(Pay_Num&lt;&gt;"",Beg_Bal-Sched_Pay&gt;0),Beg_Bal-Sched_Pay,IF(Pay_Num&lt;&gt;"",0,"")))</f>
        <v>0</v>
      </c>
      <c r="F366" s="70">
        <f>IF(AND(Pay_Num&lt;&gt;"",Sched_Pay+Extra_Pay&lt;Beg_Bal),Sched_Pay+Extra_Pay,IF(Pay_Num&lt;&gt;"",Beg_Bal,""))</f>
        <v>0</v>
      </c>
      <c r="G366" s="70">
        <f>IF(Pay_Num&lt;&gt;"",Total_Pay-Int,"")</f>
        <v>0</v>
      </c>
      <c r="H366" s="70">
        <f>IF(Pay_Num&lt;&gt;"",Beg_Bal*Interest_Rate/Num_Pmt_Per_Year,"")</f>
        <v>0</v>
      </c>
      <c r="I366" s="70">
        <f>IF(AND(Pay_Num&lt;&gt;"",Sched_Pay+Extra_Pay&lt;Beg_Bal),Beg_Bal-Princ,IF(Pay_Num&lt;&gt;"",0,""))</f>
        <v>0</v>
      </c>
      <c r="J366" s="70">
        <f>SUM($H$18:$H366)</f>
        <v>8041.5444282238004</v>
      </c>
    </row>
    <row r="367" spans="1:10" x14ac:dyDescent="0.3">
      <c r="A367" s="36">
        <f>IF(Values_Entered,A366+1,"")</f>
        <v>350</v>
      </c>
      <c r="B367" s="35">
        <f>IF(Pay_Num&lt;&gt;"",DATE(YEAR(Loan_Start),MONTH(Loan_Start)+(Pay_Num)*12/Num_Pmt_Per_Year,DAY(Loan_Start)),"")</f>
        <v>56036</v>
      </c>
      <c r="C367" s="70">
        <f>IF(Pay_Num&lt;&gt;"",I366,"")</f>
        <v>0</v>
      </c>
      <c r="D367" s="70">
        <f>IF(Pay_Num&lt;&gt;"",Scheduled_Monthly_Payment,"")</f>
        <v>2418.3976845093252</v>
      </c>
      <c r="E367" s="71">
        <f>IF(AND(Pay_Num&lt;&gt;"",Sched_Pay+Scheduled_Extra_Payments&lt;Beg_Bal),Scheduled_Extra_Payments,IF(AND(Pay_Num&lt;&gt;"",Beg_Bal-Sched_Pay&gt;0),Beg_Bal-Sched_Pay,IF(Pay_Num&lt;&gt;"",0,"")))</f>
        <v>0</v>
      </c>
      <c r="F367" s="70">
        <f>IF(AND(Pay_Num&lt;&gt;"",Sched_Pay+Extra_Pay&lt;Beg_Bal),Sched_Pay+Extra_Pay,IF(Pay_Num&lt;&gt;"",Beg_Bal,""))</f>
        <v>0</v>
      </c>
      <c r="G367" s="70">
        <f>IF(Pay_Num&lt;&gt;"",Total_Pay-Int,"")</f>
        <v>0</v>
      </c>
      <c r="H367" s="70">
        <f>IF(Pay_Num&lt;&gt;"",Beg_Bal*Interest_Rate/Num_Pmt_Per_Year,"")</f>
        <v>0</v>
      </c>
      <c r="I367" s="70">
        <f>IF(AND(Pay_Num&lt;&gt;"",Sched_Pay+Extra_Pay&lt;Beg_Bal),Beg_Bal-Princ,IF(Pay_Num&lt;&gt;"",0,""))</f>
        <v>0</v>
      </c>
      <c r="J367" s="70">
        <f>SUM($H$18:$H367)</f>
        <v>8041.5444282238004</v>
      </c>
    </row>
    <row r="368" spans="1:10" x14ac:dyDescent="0.3">
      <c r="A368" s="36">
        <f>IF(Values_Entered,A367+1,"")</f>
        <v>351</v>
      </c>
      <c r="B368" s="35">
        <f>IF(Pay_Num&lt;&gt;"",DATE(YEAR(Loan_Start),MONTH(Loan_Start)+(Pay_Num)*12/Num_Pmt_Per_Year,DAY(Loan_Start)),"")</f>
        <v>56066</v>
      </c>
      <c r="C368" s="70">
        <f>IF(Pay_Num&lt;&gt;"",I367,"")</f>
        <v>0</v>
      </c>
      <c r="D368" s="70">
        <f>IF(Pay_Num&lt;&gt;"",Scheduled_Monthly_Payment,"")</f>
        <v>2418.3976845093252</v>
      </c>
      <c r="E368" s="71">
        <f>IF(AND(Pay_Num&lt;&gt;"",Sched_Pay+Scheduled_Extra_Payments&lt;Beg_Bal),Scheduled_Extra_Payments,IF(AND(Pay_Num&lt;&gt;"",Beg_Bal-Sched_Pay&gt;0),Beg_Bal-Sched_Pay,IF(Pay_Num&lt;&gt;"",0,"")))</f>
        <v>0</v>
      </c>
      <c r="F368" s="70">
        <f>IF(AND(Pay_Num&lt;&gt;"",Sched_Pay+Extra_Pay&lt;Beg_Bal),Sched_Pay+Extra_Pay,IF(Pay_Num&lt;&gt;"",Beg_Bal,""))</f>
        <v>0</v>
      </c>
      <c r="G368" s="70">
        <f>IF(Pay_Num&lt;&gt;"",Total_Pay-Int,"")</f>
        <v>0</v>
      </c>
      <c r="H368" s="70">
        <f>IF(Pay_Num&lt;&gt;"",Beg_Bal*Interest_Rate/Num_Pmt_Per_Year,"")</f>
        <v>0</v>
      </c>
      <c r="I368" s="70">
        <f>IF(AND(Pay_Num&lt;&gt;"",Sched_Pay+Extra_Pay&lt;Beg_Bal),Beg_Bal-Princ,IF(Pay_Num&lt;&gt;"",0,""))</f>
        <v>0</v>
      </c>
      <c r="J368" s="70">
        <f>SUM($H$18:$H368)</f>
        <v>8041.5444282238004</v>
      </c>
    </row>
    <row r="369" spans="1:10" x14ac:dyDescent="0.3">
      <c r="A369" s="36">
        <f>IF(Values_Entered,A368+1,"")</f>
        <v>352</v>
      </c>
      <c r="B369" s="35">
        <f>IF(Pay_Num&lt;&gt;"",DATE(YEAR(Loan_Start),MONTH(Loan_Start)+(Pay_Num)*12/Num_Pmt_Per_Year,DAY(Loan_Start)),"")</f>
        <v>56097</v>
      </c>
      <c r="C369" s="70">
        <f>IF(Pay_Num&lt;&gt;"",I368,"")</f>
        <v>0</v>
      </c>
      <c r="D369" s="70">
        <f>IF(Pay_Num&lt;&gt;"",Scheduled_Monthly_Payment,"")</f>
        <v>2418.3976845093252</v>
      </c>
      <c r="E369" s="71">
        <f>IF(AND(Pay_Num&lt;&gt;"",Sched_Pay+Scheduled_Extra_Payments&lt;Beg_Bal),Scheduled_Extra_Payments,IF(AND(Pay_Num&lt;&gt;"",Beg_Bal-Sched_Pay&gt;0),Beg_Bal-Sched_Pay,IF(Pay_Num&lt;&gt;"",0,"")))</f>
        <v>0</v>
      </c>
      <c r="F369" s="70">
        <f>IF(AND(Pay_Num&lt;&gt;"",Sched_Pay+Extra_Pay&lt;Beg_Bal),Sched_Pay+Extra_Pay,IF(Pay_Num&lt;&gt;"",Beg_Bal,""))</f>
        <v>0</v>
      </c>
      <c r="G369" s="70">
        <f>IF(Pay_Num&lt;&gt;"",Total_Pay-Int,"")</f>
        <v>0</v>
      </c>
      <c r="H369" s="70">
        <f>IF(Pay_Num&lt;&gt;"",Beg_Bal*Interest_Rate/Num_Pmt_Per_Year,"")</f>
        <v>0</v>
      </c>
      <c r="I369" s="70">
        <f>IF(AND(Pay_Num&lt;&gt;"",Sched_Pay+Extra_Pay&lt;Beg_Bal),Beg_Bal-Princ,IF(Pay_Num&lt;&gt;"",0,""))</f>
        <v>0</v>
      </c>
      <c r="J369" s="70">
        <f>SUM($H$18:$H369)</f>
        <v>8041.5444282238004</v>
      </c>
    </row>
    <row r="370" spans="1:10" x14ac:dyDescent="0.3">
      <c r="A370" s="36">
        <f>IF(Values_Entered,A369+1,"")</f>
        <v>353</v>
      </c>
      <c r="B370" s="35">
        <f>IF(Pay_Num&lt;&gt;"",DATE(YEAR(Loan_Start),MONTH(Loan_Start)+(Pay_Num)*12/Num_Pmt_Per_Year,DAY(Loan_Start)),"")</f>
        <v>56128</v>
      </c>
      <c r="C370" s="70">
        <f>IF(Pay_Num&lt;&gt;"",I369,"")</f>
        <v>0</v>
      </c>
      <c r="D370" s="70">
        <f>IF(Pay_Num&lt;&gt;"",Scheduled_Monthly_Payment,"")</f>
        <v>2418.3976845093252</v>
      </c>
      <c r="E370" s="71">
        <f>IF(AND(Pay_Num&lt;&gt;"",Sched_Pay+Scheduled_Extra_Payments&lt;Beg_Bal),Scheduled_Extra_Payments,IF(AND(Pay_Num&lt;&gt;"",Beg_Bal-Sched_Pay&gt;0),Beg_Bal-Sched_Pay,IF(Pay_Num&lt;&gt;"",0,"")))</f>
        <v>0</v>
      </c>
      <c r="F370" s="70">
        <f>IF(AND(Pay_Num&lt;&gt;"",Sched_Pay+Extra_Pay&lt;Beg_Bal),Sched_Pay+Extra_Pay,IF(Pay_Num&lt;&gt;"",Beg_Bal,""))</f>
        <v>0</v>
      </c>
      <c r="G370" s="70">
        <f>IF(Pay_Num&lt;&gt;"",Total_Pay-Int,"")</f>
        <v>0</v>
      </c>
      <c r="H370" s="70">
        <f>IF(Pay_Num&lt;&gt;"",Beg_Bal*Interest_Rate/Num_Pmt_Per_Year,"")</f>
        <v>0</v>
      </c>
      <c r="I370" s="70">
        <f>IF(AND(Pay_Num&lt;&gt;"",Sched_Pay+Extra_Pay&lt;Beg_Bal),Beg_Bal-Princ,IF(Pay_Num&lt;&gt;"",0,""))</f>
        <v>0</v>
      </c>
      <c r="J370" s="70">
        <f>SUM($H$18:$H370)</f>
        <v>8041.5444282238004</v>
      </c>
    </row>
    <row r="371" spans="1:10" x14ac:dyDescent="0.3">
      <c r="A371" s="36">
        <f>IF(Values_Entered,A370+1,"")</f>
        <v>354</v>
      </c>
      <c r="B371" s="35">
        <f>IF(Pay_Num&lt;&gt;"",DATE(YEAR(Loan_Start),MONTH(Loan_Start)+(Pay_Num)*12/Num_Pmt_Per_Year,DAY(Loan_Start)),"")</f>
        <v>56158</v>
      </c>
      <c r="C371" s="70">
        <f>IF(Pay_Num&lt;&gt;"",I370,"")</f>
        <v>0</v>
      </c>
      <c r="D371" s="70">
        <f>IF(Pay_Num&lt;&gt;"",Scheduled_Monthly_Payment,"")</f>
        <v>2418.3976845093252</v>
      </c>
      <c r="E371" s="71">
        <f>IF(AND(Pay_Num&lt;&gt;"",Sched_Pay+Scheduled_Extra_Payments&lt;Beg_Bal),Scheduled_Extra_Payments,IF(AND(Pay_Num&lt;&gt;"",Beg_Bal-Sched_Pay&gt;0),Beg_Bal-Sched_Pay,IF(Pay_Num&lt;&gt;"",0,"")))</f>
        <v>0</v>
      </c>
      <c r="F371" s="70">
        <f>IF(AND(Pay_Num&lt;&gt;"",Sched_Pay+Extra_Pay&lt;Beg_Bal),Sched_Pay+Extra_Pay,IF(Pay_Num&lt;&gt;"",Beg_Bal,""))</f>
        <v>0</v>
      </c>
      <c r="G371" s="70">
        <f>IF(Pay_Num&lt;&gt;"",Total_Pay-Int,"")</f>
        <v>0</v>
      </c>
      <c r="H371" s="70">
        <f>IF(Pay_Num&lt;&gt;"",Beg_Bal*Interest_Rate/Num_Pmt_Per_Year,"")</f>
        <v>0</v>
      </c>
      <c r="I371" s="70">
        <f>IF(AND(Pay_Num&lt;&gt;"",Sched_Pay+Extra_Pay&lt;Beg_Bal),Beg_Bal-Princ,IF(Pay_Num&lt;&gt;"",0,""))</f>
        <v>0</v>
      </c>
      <c r="J371" s="70">
        <f>SUM($H$18:$H371)</f>
        <v>8041.5444282238004</v>
      </c>
    </row>
    <row r="372" spans="1:10" x14ac:dyDescent="0.3">
      <c r="A372" s="36">
        <f>IF(Values_Entered,A371+1,"")</f>
        <v>355</v>
      </c>
      <c r="B372" s="35">
        <f>IF(Pay_Num&lt;&gt;"",DATE(YEAR(Loan_Start),MONTH(Loan_Start)+(Pay_Num)*12/Num_Pmt_Per_Year,DAY(Loan_Start)),"")</f>
        <v>56189</v>
      </c>
      <c r="C372" s="70">
        <f>IF(Pay_Num&lt;&gt;"",I371,"")</f>
        <v>0</v>
      </c>
      <c r="D372" s="70">
        <f>IF(Pay_Num&lt;&gt;"",Scheduled_Monthly_Payment,"")</f>
        <v>2418.3976845093252</v>
      </c>
      <c r="E372" s="71">
        <f>IF(AND(Pay_Num&lt;&gt;"",Sched_Pay+Scheduled_Extra_Payments&lt;Beg_Bal),Scheduled_Extra_Payments,IF(AND(Pay_Num&lt;&gt;"",Beg_Bal-Sched_Pay&gt;0),Beg_Bal-Sched_Pay,IF(Pay_Num&lt;&gt;"",0,"")))</f>
        <v>0</v>
      </c>
      <c r="F372" s="70">
        <f>IF(AND(Pay_Num&lt;&gt;"",Sched_Pay+Extra_Pay&lt;Beg_Bal),Sched_Pay+Extra_Pay,IF(Pay_Num&lt;&gt;"",Beg_Bal,""))</f>
        <v>0</v>
      </c>
      <c r="G372" s="70">
        <f>IF(Pay_Num&lt;&gt;"",Total_Pay-Int,"")</f>
        <v>0</v>
      </c>
      <c r="H372" s="70">
        <f>IF(Pay_Num&lt;&gt;"",Beg_Bal*Interest_Rate/Num_Pmt_Per_Year,"")</f>
        <v>0</v>
      </c>
      <c r="I372" s="70">
        <f>IF(AND(Pay_Num&lt;&gt;"",Sched_Pay+Extra_Pay&lt;Beg_Bal),Beg_Bal-Princ,IF(Pay_Num&lt;&gt;"",0,""))</f>
        <v>0</v>
      </c>
      <c r="J372" s="70">
        <f>SUM($H$18:$H372)</f>
        <v>8041.5444282238004</v>
      </c>
    </row>
    <row r="373" spans="1:10" x14ac:dyDescent="0.3">
      <c r="A373" s="36">
        <f>IF(Values_Entered,A372+1,"")</f>
        <v>356</v>
      </c>
      <c r="B373" s="35">
        <f>IF(Pay_Num&lt;&gt;"",DATE(YEAR(Loan_Start),MONTH(Loan_Start)+(Pay_Num)*12/Num_Pmt_Per_Year,DAY(Loan_Start)),"")</f>
        <v>56219</v>
      </c>
      <c r="C373" s="70">
        <f>IF(Pay_Num&lt;&gt;"",I372,"")</f>
        <v>0</v>
      </c>
      <c r="D373" s="70">
        <f>IF(Pay_Num&lt;&gt;"",Scheduled_Monthly_Payment,"")</f>
        <v>2418.3976845093252</v>
      </c>
      <c r="E373" s="71">
        <f>IF(AND(Pay_Num&lt;&gt;"",Sched_Pay+Scheduled_Extra_Payments&lt;Beg_Bal),Scheduled_Extra_Payments,IF(AND(Pay_Num&lt;&gt;"",Beg_Bal-Sched_Pay&gt;0),Beg_Bal-Sched_Pay,IF(Pay_Num&lt;&gt;"",0,"")))</f>
        <v>0</v>
      </c>
      <c r="F373" s="70">
        <f>IF(AND(Pay_Num&lt;&gt;"",Sched_Pay+Extra_Pay&lt;Beg_Bal),Sched_Pay+Extra_Pay,IF(Pay_Num&lt;&gt;"",Beg_Bal,""))</f>
        <v>0</v>
      </c>
      <c r="G373" s="70">
        <f>IF(Pay_Num&lt;&gt;"",Total_Pay-Int,"")</f>
        <v>0</v>
      </c>
      <c r="H373" s="70">
        <f>IF(Pay_Num&lt;&gt;"",Beg_Bal*Interest_Rate/Num_Pmt_Per_Year,"")</f>
        <v>0</v>
      </c>
      <c r="I373" s="70">
        <f>IF(AND(Pay_Num&lt;&gt;"",Sched_Pay+Extra_Pay&lt;Beg_Bal),Beg_Bal-Princ,IF(Pay_Num&lt;&gt;"",0,""))</f>
        <v>0</v>
      </c>
      <c r="J373" s="70">
        <f>SUM($H$18:$H373)</f>
        <v>8041.5444282238004</v>
      </c>
    </row>
    <row r="374" spans="1:10" x14ac:dyDescent="0.3">
      <c r="A374" s="36">
        <f>IF(Values_Entered,A373+1,"")</f>
        <v>357</v>
      </c>
      <c r="B374" s="35">
        <f>IF(Pay_Num&lt;&gt;"",DATE(YEAR(Loan_Start),MONTH(Loan_Start)+(Pay_Num)*12/Num_Pmt_Per_Year,DAY(Loan_Start)),"")</f>
        <v>56250</v>
      </c>
      <c r="C374" s="70">
        <f>IF(Pay_Num&lt;&gt;"",I373,"")</f>
        <v>0</v>
      </c>
      <c r="D374" s="70">
        <f>IF(Pay_Num&lt;&gt;"",Scheduled_Monthly_Payment,"")</f>
        <v>2418.3976845093252</v>
      </c>
      <c r="E374" s="71">
        <f>IF(AND(Pay_Num&lt;&gt;"",Sched_Pay+Scheduled_Extra_Payments&lt;Beg_Bal),Scheduled_Extra_Payments,IF(AND(Pay_Num&lt;&gt;"",Beg_Bal-Sched_Pay&gt;0),Beg_Bal-Sched_Pay,IF(Pay_Num&lt;&gt;"",0,"")))</f>
        <v>0</v>
      </c>
      <c r="F374" s="70">
        <f>IF(AND(Pay_Num&lt;&gt;"",Sched_Pay+Extra_Pay&lt;Beg_Bal),Sched_Pay+Extra_Pay,IF(Pay_Num&lt;&gt;"",Beg_Bal,""))</f>
        <v>0</v>
      </c>
      <c r="G374" s="70">
        <f>IF(Pay_Num&lt;&gt;"",Total_Pay-Int,"")</f>
        <v>0</v>
      </c>
      <c r="H374" s="70">
        <f>IF(Pay_Num&lt;&gt;"",Beg_Bal*Interest_Rate/Num_Pmt_Per_Year,"")</f>
        <v>0</v>
      </c>
      <c r="I374" s="70">
        <f>IF(AND(Pay_Num&lt;&gt;"",Sched_Pay+Extra_Pay&lt;Beg_Bal),Beg_Bal-Princ,IF(Pay_Num&lt;&gt;"",0,""))</f>
        <v>0</v>
      </c>
      <c r="J374" s="70">
        <f>SUM($H$18:$H374)</f>
        <v>8041.5444282238004</v>
      </c>
    </row>
    <row r="375" spans="1:10" x14ac:dyDescent="0.3">
      <c r="A375" s="36">
        <f>IF(Values_Entered,A374+1,"")</f>
        <v>358</v>
      </c>
      <c r="B375" s="35">
        <f>IF(Pay_Num&lt;&gt;"",DATE(YEAR(Loan_Start),MONTH(Loan_Start)+(Pay_Num)*12/Num_Pmt_Per_Year,DAY(Loan_Start)),"")</f>
        <v>56281</v>
      </c>
      <c r="C375" s="70">
        <f>IF(Pay_Num&lt;&gt;"",I374,"")</f>
        <v>0</v>
      </c>
      <c r="D375" s="70">
        <f>IF(Pay_Num&lt;&gt;"",Scheduled_Monthly_Payment,"")</f>
        <v>2418.3976845093252</v>
      </c>
      <c r="E375" s="71">
        <f>IF(AND(Pay_Num&lt;&gt;"",Sched_Pay+Scheduled_Extra_Payments&lt;Beg_Bal),Scheduled_Extra_Payments,IF(AND(Pay_Num&lt;&gt;"",Beg_Bal-Sched_Pay&gt;0),Beg_Bal-Sched_Pay,IF(Pay_Num&lt;&gt;"",0,"")))</f>
        <v>0</v>
      </c>
      <c r="F375" s="70">
        <f>IF(AND(Pay_Num&lt;&gt;"",Sched_Pay+Extra_Pay&lt;Beg_Bal),Sched_Pay+Extra_Pay,IF(Pay_Num&lt;&gt;"",Beg_Bal,""))</f>
        <v>0</v>
      </c>
      <c r="G375" s="70">
        <f>IF(Pay_Num&lt;&gt;"",Total_Pay-Int,"")</f>
        <v>0</v>
      </c>
      <c r="H375" s="70">
        <f>IF(Pay_Num&lt;&gt;"",Beg_Bal*Interest_Rate/Num_Pmt_Per_Year,"")</f>
        <v>0</v>
      </c>
      <c r="I375" s="70">
        <f>IF(AND(Pay_Num&lt;&gt;"",Sched_Pay+Extra_Pay&lt;Beg_Bal),Beg_Bal-Princ,IF(Pay_Num&lt;&gt;"",0,""))</f>
        <v>0</v>
      </c>
      <c r="J375" s="70">
        <f>SUM($H$18:$H375)</f>
        <v>8041.5444282238004</v>
      </c>
    </row>
    <row r="376" spans="1:10" x14ac:dyDescent="0.3">
      <c r="A376" s="36">
        <f>IF(Values_Entered,A375+1,"")</f>
        <v>359</v>
      </c>
      <c r="B376" s="35">
        <f>IF(Pay_Num&lt;&gt;"",DATE(YEAR(Loan_Start),MONTH(Loan_Start)+(Pay_Num)*12/Num_Pmt_Per_Year,DAY(Loan_Start)),"")</f>
        <v>56309</v>
      </c>
      <c r="C376" s="70">
        <f>IF(Pay_Num&lt;&gt;"",I375,"")</f>
        <v>0</v>
      </c>
      <c r="D376" s="70">
        <f>IF(Pay_Num&lt;&gt;"",Scheduled_Monthly_Payment,"")</f>
        <v>2418.3976845093252</v>
      </c>
      <c r="E376" s="71">
        <f>IF(AND(Pay_Num&lt;&gt;"",Sched_Pay+Scheduled_Extra_Payments&lt;Beg_Bal),Scheduled_Extra_Payments,IF(AND(Pay_Num&lt;&gt;"",Beg_Bal-Sched_Pay&gt;0),Beg_Bal-Sched_Pay,IF(Pay_Num&lt;&gt;"",0,"")))</f>
        <v>0</v>
      </c>
      <c r="F376" s="70">
        <f>IF(AND(Pay_Num&lt;&gt;"",Sched_Pay+Extra_Pay&lt;Beg_Bal),Sched_Pay+Extra_Pay,IF(Pay_Num&lt;&gt;"",Beg_Bal,""))</f>
        <v>0</v>
      </c>
      <c r="G376" s="70">
        <f>IF(Pay_Num&lt;&gt;"",Total_Pay-Int,"")</f>
        <v>0</v>
      </c>
      <c r="H376" s="70">
        <f>IF(Pay_Num&lt;&gt;"",Beg_Bal*Interest_Rate/Num_Pmt_Per_Year,"")</f>
        <v>0</v>
      </c>
      <c r="I376" s="70">
        <f>IF(AND(Pay_Num&lt;&gt;"",Sched_Pay+Extra_Pay&lt;Beg_Bal),Beg_Bal-Princ,IF(Pay_Num&lt;&gt;"",0,""))</f>
        <v>0</v>
      </c>
      <c r="J376" s="70">
        <f>SUM($H$18:$H376)</f>
        <v>8041.5444282238004</v>
      </c>
    </row>
    <row r="377" spans="1:10" x14ac:dyDescent="0.3">
      <c r="A377" s="36">
        <f>IF(Values_Entered,A376+1,"")</f>
        <v>360</v>
      </c>
      <c r="B377" s="35">
        <f>IF(Pay_Num&lt;&gt;"",DATE(YEAR(Loan_Start),MONTH(Loan_Start)+(Pay_Num)*12/Num_Pmt_Per_Year,DAY(Loan_Start)),"")</f>
        <v>56340</v>
      </c>
      <c r="C377" s="70">
        <f>IF(Pay_Num&lt;&gt;"",I376,"")</f>
        <v>0</v>
      </c>
      <c r="D377" s="70">
        <f>IF(Pay_Num&lt;&gt;"",Scheduled_Monthly_Payment,"")</f>
        <v>2418.3976845093252</v>
      </c>
      <c r="E377" s="71">
        <f>IF(AND(Pay_Num&lt;&gt;"",Sched_Pay+Scheduled_Extra_Payments&lt;Beg_Bal),Scheduled_Extra_Payments,IF(AND(Pay_Num&lt;&gt;"",Beg_Bal-Sched_Pay&gt;0),Beg_Bal-Sched_Pay,IF(Pay_Num&lt;&gt;"",0,"")))</f>
        <v>0</v>
      </c>
      <c r="F377" s="70">
        <f>IF(AND(Pay_Num&lt;&gt;"",Sched_Pay+Extra_Pay&lt;Beg_Bal),Sched_Pay+Extra_Pay,IF(Pay_Num&lt;&gt;"",Beg_Bal,""))</f>
        <v>0</v>
      </c>
      <c r="G377" s="70">
        <f>IF(Pay_Num&lt;&gt;"",Total_Pay-Int,"")</f>
        <v>0</v>
      </c>
      <c r="H377" s="70">
        <f>IF(Pay_Num&lt;&gt;"",Beg_Bal*Interest_Rate/Num_Pmt_Per_Year,"")</f>
        <v>0</v>
      </c>
      <c r="I377" s="70">
        <f>IF(AND(Pay_Num&lt;&gt;"",Sched_Pay+Extra_Pay&lt;Beg_Bal),Beg_Bal-Princ,IF(Pay_Num&lt;&gt;"",0,""))</f>
        <v>0</v>
      </c>
      <c r="J377" s="70">
        <f>SUM($H$18:$H377)</f>
        <v>8041.5444282238004</v>
      </c>
    </row>
    <row r="378" spans="1:10" x14ac:dyDescent="0.3">
      <c r="A378" s="36">
        <f>IF(Values_Entered,A377+1,"")</f>
        <v>361</v>
      </c>
      <c r="B378" s="35">
        <f>IF(Pay_Num&lt;&gt;"",DATE(YEAR(Loan_Start),MONTH(Loan_Start)+(Pay_Num)*12/Num_Pmt_Per_Year,DAY(Loan_Start)),"")</f>
        <v>56370</v>
      </c>
      <c r="C378" s="70">
        <f>IF(Pay_Num&lt;&gt;"",I377,"")</f>
        <v>0</v>
      </c>
      <c r="D378" s="70">
        <f>IF(Pay_Num&lt;&gt;"",Scheduled_Monthly_Payment,"")</f>
        <v>2418.3976845093252</v>
      </c>
      <c r="E378" s="71">
        <f>IF(AND(Pay_Num&lt;&gt;"",Sched_Pay+Scheduled_Extra_Payments&lt;Beg_Bal),Scheduled_Extra_Payments,IF(AND(Pay_Num&lt;&gt;"",Beg_Bal-Sched_Pay&gt;0),Beg_Bal-Sched_Pay,IF(Pay_Num&lt;&gt;"",0,"")))</f>
        <v>0</v>
      </c>
      <c r="F378" s="70">
        <f>IF(AND(Pay_Num&lt;&gt;"",Sched_Pay+Extra_Pay&lt;Beg_Bal),Sched_Pay+Extra_Pay,IF(Pay_Num&lt;&gt;"",Beg_Bal,""))</f>
        <v>0</v>
      </c>
      <c r="G378" s="70">
        <f>IF(Pay_Num&lt;&gt;"",Total_Pay-Int,"")</f>
        <v>0</v>
      </c>
      <c r="H378" s="70">
        <f>IF(Pay_Num&lt;&gt;"",Beg_Bal*Interest_Rate/Num_Pmt_Per_Year,"")</f>
        <v>0</v>
      </c>
      <c r="I378" s="70">
        <f>IF(AND(Pay_Num&lt;&gt;"",Sched_Pay+Extra_Pay&lt;Beg_Bal),Beg_Bal-Princ,IF(Pay_Num&lt;&gt;"",0,""))</f>
        <v>0</v>
      </c>
      <c r="J378" s="70">
        <f>SUM($H$18:$H378)</f>
        <v>8041.5444282238004</v>
      </c>
    </row>
    <row r="379" spans="1:10" x14ac:dyDescent="0.3">
      <c r="A379" s="36">
        <f>IF(Values_Entered,A378+1,"")</f>
        <v>362</v>
      </c>
      <c r="B379" s="35">
        <f>IF(Pay_Num&lt;&gt;"",DATE(YEAR(Loan_Start),MONTH(Loan_Start)+(Pay_Num)*12/Num_Pmt_Per_Year,DAY(Loan_Start)),"")</f>
        <v>56401</v>
      </c>
      <c r="C379" s="70">
        <f>IF(Pay_Num&lt;&gt;"",I378,"")</f>
        <v>0</v>
      </c>
      <c r="D379" s="70">
        <f>IF(Pay_Num&lt;&gt;"",Scheduled_Monthly_Payment,"")</f>
        <v>2418.3976845093252</v>
      </c>
      <c r="E379" s="71">
        <f>IF(AND(Pay_Num&lt;&gt;"",Sched_Pay+Scheduled_Extra_Payments&lt;Beg_Bal),Scheduled_Extra_Payments,IF(AND(Pay_Num&lt;&gt;"",Beg_Bal-Sched_Pay&gt;0),Beg_Bal-Sched_Pay,IF(Pay_Num&lt;&gt;"",0,"")))</f>
        <v>0</v>
      </c>
      <c r="F379" s="70">
        <f>IF(AND(Pay_Num&lt;&gt;"",Sched_Pay+Extra_Pay&lt;Beg_Bal),Sched_Pay+Extra_Pay,IF(Pay_Num&lt;&gt;"",Beg_Bal,""))</f>
        <v>0</v>
      </c>
      <c r="G379" s="70">
        <f>IF(Pay_Num&lt;&gt;"",Total_Pay-Int,"")</f>
        <v>0</v>
      </c>
      <c r="H379" s="70">
        <f>IF(Pay_Num&lt;&gt;"",Beg_Bal*Interest_Rate/Num_Pmt_Per_Year,"")</f>
        <v>0</v>
      </c>
      <c r="I379" s="70">
        <f>IF(AND(Pay_Num&lt;&gt;"",Sched_Pay+Extra_Pay&lt;Beg_Bal),Beg_Bal-Princ,IF(Pay_Num&lt;&gt;"",0,""))</f>
        <v>0</v>
      </c>
      <c r="J379" s="70">
        <f>SUM($H$18:$H379)</f>
        <v>8041.5444282238004</v>
      </c>
    </row>
    <row r="380" spans="1:10" x14ac:dyDescent="0.3">
      <c r="A380" s="36">
        <f>IF(Values_Entered,A379+1,"")</f>
        <v>363</v>
      </c>
      <c r="B380" s="35">
        <f>IF(Pay_Num&lt;&gt;"",DATE(YEAR(Loan_Start),MONTH(Loan_Start)+(Pay_Num)*12/Num_Pmt_Per_Year,DAY(Loan_Start)),"")</f>
        <v>56431</v>
      </c>
      <c r="C380" s="70">
        <f>IF(Pay_Num&lt;&gt;"",I379,"")</f>
        <v>0</v>
      </c>
      <c r="D380" s="70">
        <f>IF(Pay_Num&lt;&gt;"",Scheduled_Monthly_Payment,"")</f>
        <v>2418.3976845093252</v>
      </c>
      <c r="E380" s="71">
        <f>IF(AND(Pay_Num&lt;&gt;"",Sched_Pay+Scheduled_Extra_Payments&lt;Beg_Bal),Scheduled_Extra_Payments,IF(AND(Pay_Num&lt;&gt;"",Beg_Bal-Sched_Pay&gt;0),Beg_Bal-Sched_Pay,IF(Pay_Num&lt;&gt;"",0,"")))</f>
        <v>0</v>
      </c>
      <c r="F380" s="70">
        <f>IF(AND(Pay_Num&lt;&gt;"",Sched_Pay+Extra_Pay&lt;Beg_Bal),Sched_Pay+Extra_Pay,IF(Pay_Num&lt;&gt;"",Beg_Bal,""))</f>
        <v>0</v>
      </c>
      <c r="G380" s="70">
        <f>IF(Pay_Num&lt;&gt;"",Total_Pay-Int,"")</f>
        <v>0</v>
      </c>
      <c r="H380" s="70">
        <f>IF(Pay_Num&lt;&gt;"",Beg_Bal*Interest_Rate/Num_Pmt_Per_Year,"")</f>
        <v>0</v>
      </c>
      <c r="I380" s="70">
        <f>IF(AND(Pay_Num&lt;&gt;"",Sched_Pay+Extra_Pay&lt;Beg_Bal),Beg_Bal-Princ,IF(Pay_Num&lt;&gt;"",0,""))</f>
        <v>0</v>
      </c>
      <c r="J380" s="70">
        <f>SUM($H$18:$H380)</f>
        <v>8041.5444282238004</v>
      </c>
    </row>
    <row r="381" spans="1:10" x14ac:dyDescent="0.3">
      <c r="A381" s="36">
        <f>IF(Values_Entered,A380+1,"")</f>
        <v>364</v>
      </c>
      <c r="B381" s="35">
        <f>IF(Pay_Num&lt;&gt;"",DATE(YEAR(Loan_Start),MONTH(Loan_Start)+(Pay_Num)*12/Num_Pmt_Per_Year,DAY(Loan_Start)),"")</f>
        <v>56462</v>
      </c>
      <c r="C381" s="70">
        <f>IF(Pay_Num&lt;&gt;"",I380,"")</f>
        <v>0</v>
      </c>
      <c r="D381" s="70">
        <f>IF(Pay_Num&lt;&gt;"",Scheduled_Monthly_Payment,"")</f>
        <v>2418.3976845093252</v>
      </c>
      <c r="E381" s="71">
        <f>IF(AND(Pay_Num&lt;&gt;"",Sched_Pay+Scheduled_Extra_Payments&lt;Beg_Bal),Scheduled_Extra_Payments,IF(AND(Pay_Num&lt;&gt;"",Beg_Bal-Sched_Pay&gt;0),Beg_Bal-Sched_Pay,IF(Pay_Num&lt;&gt;"",0,"")))</f>
        <v>0</v>
      </c>
      <c r="F381" s="70">
        <f>IF(AND(Pay_Num&lt;&gt;"",Sched_Pay+Extra_Pay&lt;Beg_Bal),Sched_Pay+Extra_Pay,IF(Pay_Num&lt;&gt;"",Beg_Bal,""))</f>
        <v>0</v>
      </c>
      <c r="G381" s="70">
        <f>IF(Pay_Num&lt;&gt;"",Total_Pay-Int,"")</f>
        <v>0</v>
      </c>
      <c r="H381" s="70">
        <f>IF(Pay_Num&lt;&gt;"",Beg_Bal*Interest_Rate/Num_Pmt_Per_Year,"")</f>
        <v>0</v>
      </c>
      <c r="I381" s="70">
        <f>IF(AND(Pay_Num&lt;&gt;"",Sched_Pay+Extra_Pay&lt;Beg_Bal),Beg_Bal-Princ,IF(Pay_Num&lt;&gt;"",0,""))</f>
        <v>0</v>
      </c>
      <c r="J381" s="70">
        <f>SUM($H$18:$H381)</f>
        <v>8041.5444282238004</v>
      </c>
    </row>
    <row r="382" spans="1:10" x14ac:dyDescent="0.3">
      <c r="A382" s="36">
        <f>IF(Values_Entered,A381+1,"")</f>
        <v>365</v>
      </c>
      <c r="B382" s="35">
        <f>IF(Pay_Num&lt;&gt;"",DATE(YEAR(Loan_Start),MONTH(Loan_Start)+(Pay_Num)*12/Num_Pmt_Per_Year,DAY(Loan_Start)),"")</f>
        <v>56493</v>
      </c>
      <c r="C382" s="70">
        <f>IF(Pay_Num&lt;&gt;"",I381,"")</f>
        <v>0</v>
      </c>
      <c r="D382" s="70">
        <f>IF(Pay_Num&lt;&gt;"",Scheduled_Monthly_Payment,"")</f>
        <v>2418.3976845093252</v>
      </c>
      <c r="E382" s="71">
        <f>IF(AND(Pay_Num&lt;&gt;"",Sched_Pay+Scheduled_Extra_Payments&lt;Beg_Bal),Scheduled_Extra_Payments,IF(AND(Pay_Num&lt;&gt;"",Beg_Bal-Sched_Pay&gt;0),Beg_Bal-Sched_Pay,IF(Pay_Num&lt;&gt;"",0,"")))</f>
        <v>0</v>
      </c>
      <c r="F382" s="70">
        <f>IF(AND(Pay_Num&lt;&gt;"",Sched_Pay+Extra_Pay&lt;Beg_Bal),Sched_Pay+Extra_Pay,IF(Pay_Num&lt;&gt;"",Beg_Bal,""))</f>
        <v>0</v>
      </c>
      <c r="G382" s="70">
        <f>IF(Pay_Num&lt;&gt;"",Total_Pay-Int,"")</f>
        <v>0</v>
      </c>
      <c r="H382" s="70">
        <f>IF(Pay_Num&lt;&gt;"",Beg_Bal*Interest_Rate/Num_Pmt_Per_Year,"")</f>
        <v>0</v>
      </c>
      <c r="I382" s="70">
        <f>IF(AND(Pay_Num&lt;&gt;"",Sched_Pay+Extra_Pay&lt;Beg_Bal),Beg_Bal-Princ,IF(Pay_Num&lt;&gt;"",0,""))</f>
        <v>0</v>
      </c>
      <c r="J382" s="70">
        <f>SUM($H$18:$H382)</f>
        <v>8041.5444282238004</v>
      </c>
    </row>
    <row r="383" spans="1:10" x14ac:dyDescent="0.3">
      <c r="A383" s="36">
        <f>IF(Values_Entered,A382+1,"")</f>
        <v>366</v>
      </c>
      <c r="B383" s="35">
        <f>IF(Pay_Num&lt;&gt;"",DATE(YEAR(Loan_Start),MONTH(Loan_Start)+(Pay_Num)*12/Num_Pmt_Per_Year,DAY(Loan_Start)),"")</f>
        <v>56523</v>
      </c>
      <c r="C383" s="70">
        <f>IF(Pay_Num&lt;&gt;"",I382,"")</f>
        <v>0</v>
      </c>
      <c r="D383" s="70">
        <f>IF(Pay_Num&lt;&gt;"",Scheduled_Monthly_Payment,"")</f>
        <v>2418.3976845093252</v>
      </c>
      <c r="E383" s="71">
        <f>IF(AND(Pay_Num&lt;&gt;"",Sched_Pay+Scheduled_Extra_Payments&lt;Beg_Bal),Scheduled_Extra_Payments,IF(AND(Pay_Num&lt;&gt;"",Beg_Bal-Sched_Pay&gt;0),Beg_Bal-Sched_Pay,IF(Pay_Num&lt;&gt;"",0,"")))</f>
        <v>0</v>
      </c>
      <c r="F383" s="70">
        <f>IF(AND(Pay_Num&lt;&gt;"",Sched_Pay+Extra_Pay&lt;Beg_Bal),Sched_Pay+Extra_Pay,IF(Pay_Num&lt;&gt;"",Beg_Bal,""))</f>
        <v>0</v>
      </c>
      <c r="G383" s="70">
        <f>IF(Pay_Num&lt;&gt;"",Total_Pay-Int,"")</f>
        <v>0</v>
      </c>
      <c r="H383" s="70">
        <f>IF(Pay_Num&lt;&gt;"",Beg_Bal*Interest_Rate/Num_Pmt_Per_Year,"")</f>
        <v>0</v>
      </c>
      <c r="I383" s="70">
        <f>IF(AND(Pay_Num&lt;&gt;"",Sched_Pay+Extra_Pay&lt;Beg_Bal),Beg_Bal-Princ,IF(Pay_Num&lt;&gt;"",0,""))</f>
        <v>0</v>
      </c>
      <c r="J383" s="70">
        <f>SUM($H$18:$H383)</f>
        <v>8041.5444282238004</v>
      </c>
    </row>
    <row r="384" spans="1:10" x14ac:dyDescent="0.3">
      <c r="A384" s="36">
        <f>IF(Values_Entered,A383+1,"")</f>
        <v>367</v>
      </c>
      <c r="B384" s="35">
        <f>IF(Pay_Num&lt;&gt;"",DATE(YEAR(Loan_Start),MONTH(Loan_Start)+(Pay_Num)*12/Num_Pmt_Per_Year,DAY(Loan_Start)),"")</f>
        <v>56554</v>
      </c>
      <c r="C384" s="70">
        <f>IF(Pay_Num&lt;&gt;"",I383,"")</f>
        <v>0</v>
      </c>
      <c r="D384" s="70">
        <f>IF(Pay_Num&lt;&gt;"",Scheduled_Monthly_Payment,"")</f>
        <v>2418.3976845093252</v>
      </c>
      <c r="E384" s="71">
        <f>IF(AND(Pay_Num&lt;&gt;"",Sched_Pay+Scheduled_Extra_Payments&lt;Beg_Bal),Scheduled_Extra_Payments,IF(AND(Pay_Num&lt;&gt;"",Beg_Bal-Sched_Pay&gt;0),Beg_Bal-Sched_Pay,IF(Pay_Num&lt;&gt;"",0,"")))</f>
        <v>0</v>
      </c>
      <c r="F384" s="70">
        <f>IF(AND(Pay_Num&lt;&gt;"",Sched_Pay+Extra_Pay&lt;Beg_Bal),Sched_Pay+Extra_Pay,IF(Pay_Num&lt;&gt;"",Beg_Bal,""))</f>
        <v>0</v>
      </c>
      <c r="G384" s="70">
        <f>IF(Pay_Num&lt;&gt;"",Total_Pay-Int,"")</f>
        <v>0</v>
      </c>
      <c r="H384" s="70">
        <f>IF(Pay_Num&lt;&gt;"",Beg_Bal*Interest_Rate/Num_Pmt_Per_Year,"")</f>
        <v>0</v>
      </c>
      <c r="I384" s="70">
        <f>IF(AND(Pay_Num&lt;&gt;"",Sched_Pay+Extra_Pay&lt;Beg_Bal),Beg_Bal-Princ,IF(Pay_Num&lt;&gt;"",0,""))</f>
        <v>0</v>
      </c>
      <c r="J384" s="70">
        <f>SUM($H$18:$H384)</f>
        <v>8041.5444282238004</v>
      </c>
    </row>
    <row r="385" spans="1:10" x14ac:dyDescent="0.3">
      <c r="A385" s="36">
        <f>IF(Values_Entered,A384+1,"")</f>
        <v>368</v>
      </c>
      <c r="B385" s="35">
        <f>IF(Pay_Num&lt;&gt;"",DATE(YEAR(Loan_Start),MONTH(Loan_Start)+(Pay_Num)*12/Num_Pmt_Per_Year,DAY(Loan_Start)),"")</f>
        <v>56584</v>
      </c>
      <c r="C385" s="70">
        <f>IF(Pay_Num&lt;&gt;"",I384,"")</f>
        <v>0</v>
      </c>
      <c r="D385" s="70">
        <f>IF(Pay_Num&lt;&gt;"",Scheduled_Monthly_Payment,"")</f>
        <v>2418.3976845093252</v>
      </c>
      <c r="E385" s="71">
        <f>IF(AND(Pay_Num&lt;&gt;"",Sched_Pay+Scheduled_Extra_Payments&lt;Beg_Bal),Scheduled_Extra_Payments,IF(AND(Pay_Num&lt;&gt;"",Beg_Bal-Sched_Pay&gt;0),Beg_Bal-Sched_Pay,IF(Pay_Num&lt;&gt;"",0,"")))</f>
        <v>0</v>
      </c>
      <c r="F385" s="70">
        <f>IF(AND(Pay_Num&lt;&gt;"",Sched_Pay+Extra_Pay&lt;Beg_Bal),Sched_Pay+Extra_Pay,IF(Pay_Num&lt;&gt;"",Beg_Bal,""))</f>
        <v>0</v>
      </c>
      <c r="G385" s="70">
        <f>IF(Pay_Num&lt;&gt;"",Total_Pay-Int,"")</f>
        <v>0</v>
      </c>
      <c r="H385" s="70">
        <f>IF(Pay_Num&lt;&gt;"",Beg_Bal*Interest_Rate/Num_Pmt_Per_Year,"")</f>
        <v>0</v>
      </c>
      <c r="I385" s="70">
        <f>IF(AND(Pay_Num&lt;&gt;"",Sched_Pay+Extra_Pay&lt;Beg_Bal),Beg_Bal-Princ,IF(Pay_Num&lt;&gt;"",0,""))</f>
        <v>0</v>
      </c>
      <c r="J385" s="70">
        <f>SUM($H$18:$H385)</f>
        <v>8041.5444282238004</v>
      </c>
    </row>
    <row r="386" spans="1:10" x14ac:dyDescent="0.3">
      <c r="A386" s="36">
        <f>IF(Values_Entered,A385+1,"")</f>
        <v>369</v>
      </c>
      <c r="B386" s="35">
        <f>IF(Pay_Num&lt;&gt;"",DATE(YEAR(Loan_Start),MONTH(Loan_Start)+(Pay_Num)*12/Num_Pmt_Per_Year,DAY(Loan_Start)),"")</f>
        <v>56615</v>
      </c>
      <c r="C386" s="70">
        <f>IF(Pay_Num&lt;&gt;"",I385,"")</f>
        <v>0</v>
      </c>
      <c r="D386" s="70">
        <f>IF(Pay_Num&lt;&gt;"",Scheduled_Monthly_Payment,"")</f>
        <v>2418.3976845093252</v>
      </c>
      <c r="E386" s="71">
        <f>IF(AND(Pay_Num&lt;&gt;"",Sched_Pay+Scheduled_Extra_Payments&lt;Beg_Bal),Scheduled_Extra_Payments,IF(AND(Pay_Num&lt;&gt;"",Beg_Bal-Sched_Pay&gt;0),Beg_Bal-Sched_Pay,IF(Pay_Num&lt;&gt;"",0,"")))</f>
        <v>0</v>
      </c>
      <c r="F386" s="70">
        <f>IF(AND(Pay_Num&lt;&gt;"",Sched_Pay+Extra_Pay&lt;Beg_Bal),Sched_Pay+Extra_Pay,IF(Pay_Num&lt;&gt;"",Beg_Bal,""))</f>
        <v>0</v>
      </c>
      <c r="G386" s="70">
        <f>IF(Pay_Num&lt;&gt;"",Total_Pay-Int,"")</f>
        <v>0</v>
      </c>
      <c r="H386" s="70">
        <f>IF(Pay_Num&lt;&gt;"",Beg_Bal*Interest_Rate/Num_Pmt_Per_Year,"")</f>
        <v>0</v>
      </c>
      <c r="I386" s="70">
        <f>IF(AND(Pay_Num&lt;&gt;"",Sched_Pay+Extra_Pay&lt;Beg_Bal),Beg_Bal-Princ,IF(Pay_Num&lt;&gt;"",0,""))</f>
        <v>0</v>
      </c>
      <c r="J386" s="70">
        <f>SUM($H$18:$H386)</f>
        <v>8041.5444282238004</v>
      </c>
    </row>
    <row r="387" spans="1:10" x14ac:dyDescent="0.3">
      <c r="A387" s="36">
        <f>IF(Values_Entered,A386+1,"")</f>
        <v>370</v>
      </c>
      <c r="B387" s="35">
        <f>IF(Pay_Num&lt;&gt;"",DATE(YEAR(Loan_Start),MONTH(Loan_Start)+(Pay_Num)*12/Num_Pmt_Per_Year,DAY(Loan_Start)),"")</f>
        <v>56646</v>
      </c>
      <c r="C387" s="70">
        <f>IF(Pay_Num&lt;&gt;"",I386,"")</f>
        <v>0</v>
      </c>
      <c r="D387" s="70">
        <f>IF(Pay_Num&lt;&gt;"",Scheduled_Monthly_Payment,"")</f>
        <v>2418.3976845093252</v>
      </c>
      <c r="E387" s="71">
        <f>IF(AND(Pay_Num&lt;&gt;"",Sched_Pay+Scheduled_Extra_Payments&lt;Beg_Bal),Scheduled_Extra_Payments,IF(AND(Pay_Num&lt;&gt;"",Beg_Bal-Sched_Pay&gt;0),Beg_Bal-Sched_Pay,IF(Pay_Num&lt;&gt;"",0,"")))</f>
        <v>0</v>
      </c>
      <c r="F387" s="70">
        <f>IF(AND(Pay_Num&lt;&gt;"",Sched_Pay+Extra_Pay&lt;Beg_Bal),Sched_Pay+Extra_Pay,IF(Pay_Num&lt;&gt;"",Beg_Bal,""))</f>
        <v>0</v>
      </c>
      <c r="G387" s="70">
        <f>IF(Pay_Num&lt;&gt;"",Total_Pay-Int,"")</f>
        <v>0</v>
      </c>
      <c r="H387" s="70">
        <f>IF(Pay_Num&lt;&gt;"",Beg_Bal*Interest_Rate/Num_Pmt_Per_Year,"")</f>
        <v>0</v>
      </c>
      <c r="I387" s="70">
        <f>IF(AND(Pay_Num&lt;&gt;"",Sched_Pay+Extra_Pay&lt;Beg_Bal),Beg_Bal-Princ,IF(Pay_Num&lt;&gt;"",0,""))</f>
        <v>0</v>
      </c>
      <c r="J387" s="70">
        <f>SUM($H$18:$H387)</f>
        <v>8041.5444282238004</v>
      </c>
    </row>
    <row r="388" spans="1:10" x14ac:dyDescent="0.3">
      <c r="A388" s="36">
        <f>IF(Values_Entered,A387+1,"")</f>
        <v>371</v>
      </c>
      <c r="B388" s="35">
        <f>IF(Pay_Num&lt;&gt;"",DATE(YEAR(Loan_Start),MONTH(Loan_Start)+(Pay_Num)*12/Num_Pmt_Per_Year,DAY(Loan_Start)),"")</f>
        <v>56674</v>
      </c>
      <c r="C388" s="70">
        <f>IF(Pay_Num&lt;&gt;"",I387,"")</f>
        <v>0</v>
      </c>
      <c r="D388" s="70">
        <f>IF(Pay_Num&lt;&gt;"",Scheduled_Monthly_Payment,"")</f>
        <v>2418.3976845093252</v>
      </c>
      <c r="E388" s="71">
        <f>IF(AND(Pay_Num&lt;&gt;"",Sched_Pay+Scheduled_Extra_Payments&lt;Beg_Bal),Scheduled_Extra_Payments,IF(AND(Pay_Num&lt;&gt;"",Beg_Bal-Sched_Pay&gt;0),Beg_Bal-Sched_Pay,IF(Pay_Num&lt;&gt;"",0,"")))</f>
        <v>0</v>
      </c>
      <c r="F388" s="70">
        <f>IF(AND(Pay_Num&lt;&gt;"",Sched_Pay+Extra_Pay&lt;Beg_Bal),Sched_Pay+Extra_Pay,IF(Pay_Num&lt;&gt;"",Beg_Bal,""))</f>
        <v>0</v>
      </c>
      <c r="G388" s="70">
        <f>IF(Pay_Num&lt;&gt;"",Total_Pay-Int,"")</f>
        <v>0</v>
      </c>
      <c r="H388" s="70">
        <f>IF(Pay_Num&lt;&gt;"",Beg_Bal*Interest_Rate/Num_Pmt_Per_Year,"")</f>
        <v>0</v>
      </c>
      <c r="I388" s="70">
        <f>IF(AND(Pay_Num&lt;&gt;"",Sched_Pay+Extra_Pay&lt;Beg_Bal),Beg_Bal-Princ,IF(Pay_Num&lt;&gt;"",0,""))</f>
        <v>0</v>
      </c>
      <c r="J388" s="70">
        <f>SUM($H$18:$H388)</f>
        <v>8041.5444282238004</v>
      </c>
    </row>
    <row r="389" spans="1:10" x14ac:dyDescent="0.3">
      <c r="A389" s="36">
        <f>IF(Values_Entered,A388+1,"")</f>
        <v>372</v>
      </c>
      <c r="B389" s="35">
        <f>IF(Pay_Num&lt;&gt;"",DATE(YEAR(Loan_Start),MONTH(Loan_Start)+(Pay_Num)*12/Num_Pmt_Per_Year,DAY(Loan_Start)),"")</f>
        <v>56705</v>
      </c>
      <c r="C389" s="70">
        <f>IF(Pay_Num&lt;&gt;"",I388,"")</f>
        <v>0</v>
      </c>
      <c r="D389" s="70">
        <f>IF(Pay_Num&lt;&gt;"",Scheduled_Monthly_Payment,"")</f>
        <v>2418.3976845093252</v>
      </c>
      <c r="E389" s="71">
        <f>IF(AND(Pay_Num&lt;&gt;"",Sched_Pay+Scheduled_Extra_Payments&lt;Beg_Bal),Scheduled_Extra_Payments,IF(AND(Pay_Num&lt;&gt;"",Beg_Bal-Sched_Pay&gt;0),Beg_Bal-Sched_Pay,IF(Pay_Num&lt;&gt;"",0,"")))</f>
        <v>0</v>
      </c>
      <c r="F389" s="70">
        <f>IF(AND(Pay_Num&lt;&gt;"",Sched_Pay+Extra_Pay&lt;Beg_Bal),Sched_Pay+Extra_Pay,IF(Pay_Num&lt;&gt;"",Beg_Bal,""))</f>
        <v>0</v>
      </c>
      <c r="G389" s="70">
        <f>IF(Pay_Num&lt;&gt;"",Total_Pay-Int,"")</f>
        <v>0</v>
      </c>
      <c r="H389" s="70">
        <f>IF(Pay_Num&lt;&gt;"",Beg_Bal*Interest_Rate/Num_Pmt_Per_Year,"")</f>
        <v>0</v>
      </c>
      <c r="I389" s="70">
        <f>IF(AND(Pay_Num&lt;&gt;"",Sched_Pay+Extra_Pay&lt;Beg_Bal),Beg_Bal-Princ,IF(Pay_Num&lt;&gt;"",0,""))</f>
        <v>0</v>
      </c>
      <c r="J389" s="70">
        <f>SUM($H$18:$H389)</f>
        <v>8041.5444282238004</v>
      </c>
    </row>
    <row r="390" spans="1:10" x14ac:dyDescent="0.3">
      <c r="A390" s="36">
        <f>IF(Values_Entered,A389+1,"")</f>
        <v>373</v>
      </c>
      <c r="B390" s="35">
        <f>IF(Pay_Num&lt;&gt;"",DATE(YEAR(Loan_Start),MONTH(Loan_Start)+(Pay_Num)*12/Num_Pmt_Per_Year,DAY(Loan_Start)),"")</f>
        <v>56735</v>
      </c>
      <c r="C390" s="70">
        <f>IF(Pay_Num&lt;&gt;"",I389,"")</f>
        <v>0</v>
      </c>
      <c r="D390" s="70">
        <f>IF(Pay_Num&lt;&gt;"",Scheduled_Monthly_Payment,"")</f>
        <v>2418.3976845093252</v>
      </c>
      <c r="E390" s="71">
        <f>IF(AND(Pay_Num&lt;&gt;"",Sched_Pay+Scheduled_Extra_Payments&lt;Beg_Bal),Scheduled_Extra_Payments,IF(AND(Pay_Num&lt;&gt;"",Beg_Bal-Sched_Pay&gt;0),Beg_Bal-Sched_Pay,IF(Pay_Num&lt;&gt;"",0,"")))</f>
        <v>0</v>
      </c>
      <c r="F390" s="70">
        <f>IF(AND(Pay_Num&lt;&gt;"",Sched_Pay+Extra_Pay&lt;Beg_Bal),Sched_Pay+Extra_Pay,IF(Pay_Num&lt;&gt;"",Beg_Bal,""))</f>
        <v>0</v>
      </c>
      <c r="G390" s="70">
        <f>IF(Pay_Num&lt;&gt;"",Total_Pay-Int,"")</f>
        <v>0</v>
      </c>
      <c r="H390" s="70">
        <f>IF(Pay_Num&lt;&gt;"",Beg_Bal*Interest_Rate/Num_Pmt_Per_Year,"")</f>
        <v>0</v>
      </c>
      <c r="I390" s="70">
        <f>IF(AND(Pay_Num&lt;&gt;"",Sched_Pay+Extra_Pay&lt;Beg_Bal),Beg_Bal-Princ,IF(Pay_Num&lt;&gt;"",0,""))</f>
        <v>0</v>
      </c>
      <c r="J390" s="70">
        <f>SUM($H$18:$H390)</f>
        <v>8041.5444282238004</v>
      </c>
    </row>
    <row r="391" spans="1:10" x14ac:dyDescent="0.3">
      <c r="A391" s="36">
        <f>IF(Values_Entered,A390+1,"")</f>
        <v>374</v>
      </c>
      <c r="B391" s="35">
        <f>IF(Pay_Num&lt;&gt;"",DATE(YEAR(Loan_Start),MONTH(Loan_Start)+(Pay_Num)*12/Num_Pmt_Per_Year,DAY(Loan_Start)),"")</f>
        <v>56766</v>
      </c>
      <c r="C391" s="70">
        <f>IF(Pay_Num&lt;&gt;"",I390,"")</f>
        <v>0</v>
      </c>
      <c r="D391" s="70">
        <f>IF(Pay_Num&lt;&gt;"",Scheduled_Monthly_Payment,"")</f>
        <v>2418.3976845093252</v>
      </c>
      <c r="E391" s="71">
        <f>IF(AND(Pay_Num&lt;&gt;"",Sched_Pay+Scheduled_Extra_Payments&lt;Beg_Bal),Scheduled_Extra_Payments,IF(AND(Pay_Num&lt;&gt;"",Beg_Bal-Sched_Pay&gt;0),Beg_Bal-Sched_Pay,IF(Pay_Num&lt;&gt;"",0,"")))</f>
        <v>0</v>
      </c>
      <c r="F391" s="70">
        <f>IF(AND(Pay_Num&lt;&gt;"",Sched_Pay+Extra_Pay&lt;Beg_Bal),Sched_Pay+Extra_Pay,IF(Pay_Num&lt;&gt;"",Beg_Bal,""))</f>
        <v>0</v>
      </c>
      <c r="G391" s="70">
        <f>IF(Pay_Num&lt;&gt;"",Total_Pay-Int,"")</f>
        <v>0</v>
      </c>
      <c r="H391" s="70">
        <f>IF(Pay_Num&lt;&gt;"",Beg_Bal*Interest_Rate/Num_Pmt_Per_Year,"")</f>
        <v>0</v>
      </c>
      <c r="I391" s="70">
        <f>IF(AND(Pay_Num&lt;&gt;"",Sched_Pay+Extra_Pay&lt;Beg_Bal),Beg_Bal-Princ,IF(Pay_Num&lt;&gt;"",0,""))</f>
        <v>0</v>
      </c>
      <c r="J391" s="70">
        <f>SUM($H$18:$H391)</f>
        <v>8041.5444282238004</v>
      </c>
    </row>
    <row r="392" spans="1:10" x14ac:dyDescent="0.3">
      <c r="A392" s="36">
        <f>IF(Values_Entered,A391+1,"")</f>
        <v>375</v>
      </c>
      <c r="B392" s="35">
        <f>IF(Pay_Num&lt;&gt;"",DATE(YEAR(Loan_Start),MONTH(Loan_Start)+(Pay_Num)*12/Num_Pmt_Per_Year,DAY(Loan_Start)),"")</f>
        <v>56796</v>
      </c>
      <c r="C392" s="70">
        <f>IF(Pay_Num&lt;&gt;"",I391,"")</f>
        <v>0</v>
      </c>
      <c r="D392" s="70">
        <f>IF(Pay_Num&lt;&gt;"",Scheduled_Monthly_Payment,"")</f>
        <v>2418.3976845093252</v>
      </c>
      <c r="E392" s="71">
        <f>IF(AND(Pay_Num&lt;&gt;"",Sched_Pay+Scheduled_Extra_Payments&lt;Beg_Bal),Scheduled_Extra_Payments,IF(AND(Pay_Num&lt;&gt;"",Beg_Bal-Sched_Pay&gt;0),Beg_Bal-Sched_Pay,IF(Pay_Num&lt;&gt;"",0,"")))</f>
        <v>0</v>
      </c>
      <c r="F392" s="70">
        <f>IF(AND(Pay_Num&lt;&gt;"",Sched_Pay+Extra_Pay&lt;Beg_Bal),Sched_Pay+Extra_Pay,IF(Pay_Num&lt;&gt;"",Beg_Bal,""))</f>
        <v>0</v>
      </c>
      <c r="G392" s="70">
        <f>IF(Pay_Num&lt;&gt;"",Total_Pay-Int,"")</f>
        <v>0</v>
      </c>
      <c r="H392" s="70">
        <f>IF(Pay_Num&lt;&gt;"",Beg_Bal*Interest_Rate/Num_Pmt_Per_Year,"")</f>
        <v>0</v>
      </c>
      <c r="I392" s="70">
        <f>IF(AND(Pay_Num&lt;&gt;"",Sched_Pay+Extra_Pay&lt;Beg_Bal),Beg_Bal-Princ,IF(Pay_Num&lt;&gt;"",0,""))</f>
        <v>0</v>
      </c>
      <c r="J392" s="70">
        <f>SUM($H$18:$H392)</f>
        <v>8041.5444282238004</v>
      </c>
    </row>
    <row r="393" spans="1:10" x14ac:dyDescent="0.3">
      <c r="A393" s="36">
        <f>IF(Values_Entered,A392+1,"")</f>
        <v>376</v>
      </c>
      <c r="B393" s="35">
        <f>IF(Pay_Num&lt;&gt;"",DATE(YEAR(Loan_Start),MONTH(Loan_Start)+(Pay_Num)*12/Num_Pmt_Per_Year,DAY(Loan_Start)),"")</f>
        <v>56827</v>
      </c>
      <c r="C393" s="70">
        <f>IF(Pay_Num&lt;&gt;"",I392,"")</f>
        <v>0</v>
      </c>
      <c r="D393" s="70">
        <f>IF(Pay_Num&lt;&gt;"",Scheduled_Monthly_Payment,"")</f>
        <v>2418.3976845093252</v>
      </c>
      <c r="E393" s="71">
        <f>IF(AND(Pay_Num&lt;&gt;"",Sched_Pay+Scheduled_Extra_Payments&lt;Beg_Bal),Scheduled_Extra_Payments,IF(AND(Pay_Num&lt;&gt;"",Beg_Bal-Sched_Pay&gt;0),Beg_Bal-Sched_Pay,IF(Pay_Num&lt;&gt;"",0,"")))</f>
        <v>0</v>
      </c>
      <c r="F393" s="70">
        <f>IF(AND(Pay_Num&lt;&gt;"",Sched_Pay+Extra_Pay&lt;Beg_Bal),Sched_Pay+Extra_Pay,IF(Pay_Num&lt;&gt;"",Beg_Bal,""))</f>
        <v>0</v>
      </c>
      <c r="G393" s="70">
        <f>IF(Pay_Num&lt;&gt;"",Total_Pay-Int,"")</f>
        <v>0</v>
      </c>
      <c r="H393" s="70">
        <f>IF(Pay_Num&lt;&gt;"",Beg_Bal*Interest_Rate/Num_Pmt_Per_Year,"")</f>
        <v>0</v>
      </c>
      <c r="I393" s="70">
        <f>IF(AND(Pay_Num&lt;&gt;"",Sched_Pay+Extra_Pay&lt;Beg_Bal),Beg_Bal-Princ,IF(Pay_Num&lt;&gt;"",0,""))</f>
        <v>0</v>
      </c>
      <c r="J393" s="70">
        <f>SUM($H$18:$H393)</f>
        <v>8041.5444282238004</v>
      </c>
    </row>
    <row r="394" spans="1:10" x14ac:dyDescent="0.3">
      <c r="A394" s="36">
        <f>IF(Values_Entered,A393+1,"")</f>
        <v>377</v>
      </c>
      <c r="B394" s="35">
        <f>IF(Pay_Num&lt;&gt;"",DATE(YEAR(Loan_Start),MONTH(Loan_Start)+(Pay_Num)*12/Num_Pmt_Per_Year,DAY(Loan_Start)),"")</f>
        <v>56858</v>
      </c>
      <c r="C394" s="70">
        <f>IF(Pay_Num&lt;&gt;"",I393,"")</f>
        <v>0</v>
      </c>
      <c r="D394" s="70">
        <f>IF(Pay_Num&lt;&gt;"",Scheduled_Monthly_Payment,"")</f>
        <v>2418.3976845093252</v>
      </c>
      <c r="E394" s="71">
        <f>IF(AND(Pay_Num&lt;&gt;"",Sched_Pay+Scheduled_Extra_Payments&lt;Beg_Bal),Scheduled_Extra_Payments,IF(AND(Pay_Num&lt;&gt;"",Beg_Bal-Sched_Pay&gt;0),Beg_Bal-Sched_Pay,IF(Pay_Num&lt;&gt;"",0,"")))</f>
        <v>0</v>
      </c>
      <c r="F394" s="70">
        <f>IF(AND(Pay_Num&lt;&gt;"",Sched_Pay+Extra_Pay&lt;Beg_Bal),Sched_Pay+Extra_Pay,IF(Pay_Num&lt;&gt;"",Beg_Bal,""))</f>
        <v>0</v>
      </c>
      <c r="G394" s="70">
        <f>IF(Pay_Num&lt;&gt;"",Total_Pay-Int,"")</f>
        <v>0</v>
      </c>
      <c r="H394" s="70">
        <f>IF(Pay_Num&lt;&gt;"",Beg_Bal*Interest_Rate/Num_Pmt_Per_Year,"")</f>
        <v>0</v>
      </c>
      <c r="I394" s="70">
        <f>IF(AND(Pay_Num&lt;&gt;"",Sched_Pay+Extra_Pay&lt;Beg_Bal),Beg_Bal-Princ,IF(Pay_Num&lt;&gt;"",0,""))</f>
        <v>0</v>
      </c>
      <c r="J394" s="70">
        <f>SUM($H$18:$H394)</f>
        <v>8041.5444282238004</v>
      </c>
    </row>
    <row r="395" spans="1:10" x14ac:dyDescent="0.3">
      <c r="A395" s="36">
        <f>IF(Values_Entered,A394+1,"")</f>
        <v>378</v>
      </c>
      <c r="B395" s="35">
        <f>IF(Pay_Num&lt;&gt;"",DATE(YEAR(Loan_Start),MONTH(Loan_Start)+(Pay_Num)*12/Num_Pmt_Per_Year,DAY(Loan_Start)),"")</f>
        <v>56888</v>
      </c>
      <c r="C395" s="70">
        <f>IF(Pay_Num&lt;&gt;"",I394,"")</f>
        <v>0</v>
      </c>
      <c r="D395" s="70">
        <f>IF(Pay_Num&lt;&gt;"",Scheduled_Monthly_Payment,"")</f>
        <v>2418.3976845093252</v>
      </c>
      <c r="E395" s="71">
        <f>IF(AND(Pay_Num&lt;&gt;"",Sched_Pay+Scheduled_Extra_Payments&lt;Beg_Bal),Scheduled_Extra_Payments,IF(AND(Pay_Num&lt;&gt;"",Beg_Bal-Sched_Pay&gt;0),Beg_Bal-Sched_Pay,IF(Pay_Num&lt;&gt;"",0,"")))</f>
        <v>0</v>
      </c>
      <c r="F395" s="70">
        <f>IF(AND(Pay_Num&lt;&gt;"",Sched_Pay+Extra_Pay&lt;Beg_Bal),Sched_Pay+Extra_Pay,IF(Pay_Num&lt;&gt;"",Beg_Bal,""))</f>
        <v>0</v>
      </c>
      <c r="G395" s="70">
        <f>IF(Pay_Num&lt;&gt;"",Total_Pay-Int,"")</f>
        <v>0</v>
      </c>
      <c r="H395" s="70">
        <f>IF(Pay_Num&lt;&gt;"",Beg_Bal*Interest_Rate/Num_Pmt_Per_Year,"")</f>
        <v>0</v>
      </c>
      <c r="I395" s="70">
        <f>IF(AND(Pay_Num&lt;&gt;"",Sched_Pay+Extra_Pay&lt;Beg_Bal),Beg_Bal-Princ,IF(Pay_Num&lt;&gt;"",0,""))</f>
        <v>0</v>
      </c>
      <c r="J395" s="70">
        <f>SUM($H$18:$H395)</f>
        <v>8041.5444282238004</v>
      </c>
    </row>
    <row r="396" spans="1:10" x14ac:dyDescent="0.3">
      <c r="A396" s="36">
        <f>IF(Values_Entered,A395+1,"")</f>
        <v>379</v>
      </c>
      <c r="B396" s="35">
        <f>IF(Pay_Num&lt;&gt;"",DATE(YEAR(Loan_Start),MONTH(Loan_Start)+(Pay_Num)*12/Num_Pmt_Per_Year,DAY(Loan_Start)),"")</f>
        <v>56919</v>
      </c>
      <c r="C396" s="70">
        <f>IF(Pay_Num&lt;&gt;"",I395,"")</f>
        <v>0</v>
      </c>
      <c r="D396" s="70">
        <f>IF(Pay_Num&lt;&gt;"",Scheduled_Monthly_Payment,"")</f>
        <v>2418.3976845093252</v>
      </c>
      <c r="E396" s="71">
        <f>IF(AND(Pay_Num&lt;&gt;"",Sched_Pay+Scheduled_Extra_Payments&lt;Beg_Bal),Scheduled_Extra_Payments,IF(AND(Pay_Num&lt;&gt;"",Beg_Bal-Sched_Pay&gt;0),Beg_Bal-Sched_Pay,IF(Pay_Num&lt;&gt;"",0,"")))</f>
        <v>0</v>
      </c>
      <c r="F396" s="70">
        <f>IF(AND(Pay_Num&lt;&gt;"",Sched_Pay+Extra_Pay&lt;Beg_Bal),Sched_Pay+Extra_Pay,IF(Pay_Num&lt;&gt;"",Beg_Bal,""))</f>
        <v>0</v>
      </c>
      <c r="G396" s="70">
        <f>IF(Pay_Num&lt;&gt;"",Total_Pay-Int,"")</f>
        <v>0</v>
      </c>
      <c r="H396" s="70">
        <f>IF(Pay_Num&lt;&gt;"",Beg_Bal*Interest_Rate/Num_Pmt_Per_Year,"")</f>
        <v>0</v>
      </c>
      <c r="I396" s="70">
        <f>IF(AND(Pay_Num&lt;&gt;"",Sched_Pay+Extra_Pay&lt;Beg_Bal),Beg_Bal-Princ,IF(Pay_Num&lt;&gt;"",0,""))</f>
        <v>0</v>
      </c>
      <c r="J396" s="70">
        <f>SUM($H$18:$H396)</f>
        <v>8041.5444282238004</v>
      </c>
    </row>
    <row r="397" spans="1:10" x14ac:dyDescent="0.3">
      <c r="A397" s="36">
        <f>IF(Values_Entered,A396+1,"")</f>
        <v>380</v>
      </c>
      <c r="B397" s="35">
        <f>IF(Pay_Num&lt;&gt;"",DATE(YEAR(Loan_Start),MONTH(Loan_Start)+(Pay_Num)*12/Num_Pmt_Per_Year,DAY(Loan_Start)),"")</f>
        <v>56949</v>
      </c>
      <c r="C397" s="70">
        <f>IF(Pay_Num&lt;&gt;"",I396,"")</f>
        <v>0</v>
      </c>
      <c r="D397" s="70">
        <f>IF(Pay_Num&lt;&gt;"",Scheduled_Monthly_Payment,"")</f>
        <v>2418.3976845093252</v>
      </c>
      <c r="E397" s="71">
        <f>IF(AND(Pay_Num&lt;&gt;"",Sched_Pay+Scheduled_Extra_Payments&lt;Beg_Bal),Scheduled_Extra_Payments,IF(AND(Pay_Num&lt;&gt;"",Beg_Bal-Sched_Pay&gt;0),Beg_Bal-Sched_Pay,IF(Pay_Num&lt;&gt;"",0,"")))</f>
        <v>0</v>
      </c>
      <c r="F397" s="70">
        <f>IF(AND(Pay_Num&lt;&gt;"",Sched_Pay+Extra_Pay&lt;Beg_Bal),Sched_Pay+Extra_Pay,IF(Pay_Num&lt;&gt;"",Beg_Bal,""))</f>
        <v>0</v>
      </c>
      <c r="G397" s="70">
        <f>IF(Pay_Num&lt;&gt;"",Total_Pay-Int,"")</f>
        <v>0</v>
      </c>
      <c r="H397" s="70">
        <f>IF(Pay_Num&lt;&gt;"",Beg_Bal*Interest_Rate/Num_Pmt_Per_Year,"")</f>
        <v>0</v>
      </c>
      <c r="I397" s="70">
        <f>IF(AND(Pay_Num&lt;&gt;"",Sched_Pay+Extra_Pay&lt;Beg_Bal),Beg_Bal-Princ,IF(Pay_Num&lt;&gt;"",0,""))</f>
        <v>0</v>
      </c>
      <c r="J397" s="70">
        <f>SUM($H$18:$H397)</f>
        <v>8041.5444282238004</v>
      </c>
    </row>
    <row r="398" spans="1:10" x14ac:dyDescent="0.3">
      <c r="A398" s="36">
        <f>IF(Values_Entered,A397+1,"")</f>
        <v>381</v>
      </c>
      <c r="B398" s="35">
        <f>IF(Pay_Num&lt;&gt;"",DATE(YEAR(Loan_Start),MONTH(Loan_Start)+(Pay_Num)*12/Num_Pmt_Per_Year,DAY(Loan_Start)),"")</f>
        <v>56980</v>
      </c>
      <c r="C398" s="70">
        <f>IF(Pay_Num&lt;&gt;"",I397,"")</f>
        <v>0</v>
      </c>
      <c r="D398" s="70">
        <f>IF(Pay_Num&lt;&gt;"",Scheduled_Monthly_Payment,"")</f>
        <v>2418.3976845093252</v>
      </c>
      <c r="E398" s="71">
        <f>IF(AND(Pay_Num&lt;&gt;"",Sched_Pay+Scheduled_Extra_Payments&lt;Beg_Bal),Scheduled_Extra_Payments,IF(AND(Pay_Num&lt;&gt;"",Beg_Bal-Sched_Pay&gt;0),Beg_Bal-Sched_Pay,IF(Pay_Num&lt;&gt;"",0,"")))</f>
        <v>0</v>
      </c>
      <c r="F398" s="70">
        <f>IF(AND(Pay_Num&lt;&gt;"",Sched_Pay+Extra_Pay&lt;Beg_Bal),Sched_Pay+Extra_Pay,IF(Pay_Num&lt;&gt;"",Beg_Bal,""))</f>
        <v>0</v>
      </c>
      <c r="G398" s="70">
        <f>IF(Pay_Num&lt;&gt;"",Total_Pay-Int,"")</f>
        <v>0</v>
      </c>
      <c r="H398" s="70">
        <f>IF(Pay_Num&lt;&gt;"",Beg_Bal*Interest_Rate/Num_Pmt_Per_Year,"")</f>
        <v>0</v>
      </c>
      <c r="I398" s="70">
        <f>IF(AND(Pay_Num&lt;&gt;"",Sched_Pay+Extra_Pay&lt;Beg_Bal),Beg_Bal-Princ,IF(Pay_Num&lt;&gt;"",0,""))</f>
        <v>0</v>
      </c>
      <c r="J398" s="70">
        <f>SUM($H$18:$H398)</f>
        <v>8041.5444282238004</v>
      </c>
    </row>
    <row r="399" spans="1:10" x14ac:dyDescent="0.3">
      <c r="A399" s="36">
        <f>IF(Values_Entered,A398+1,"")</f>
        <v>382</v>
      </c>
      <c r="B399" s="35">
        <f>IF(Pay_Num&lt;&gt;"",DATE(YEAR(Loan_Start),MONTH(Loan_Start)+(Pay_Num)*12/Num_Pmt_Per_Year,DAY(Loan_Start)),"")</f>
        <v>57011</v>
      </c>
      <c r="C399" s="70">
        <f>IF(Pay_Num&lt;&gt;"",I398,"")</f>
        <v>0</v>
      </c>
      <c r="D399" s="70">
        <f>IF(Pay_Num&lt;&gt;"",Scheduled_Monthly_Payment,"")</f>
        <v>2418.3976845093252</v>
      </c>
      <c r="E399" s="71">
        <f>IF(AND(Pay_Num&lt;&gt;"",Sched_Pay+Scheduled_Extra_Payments&lt;Beg_Bal),Scheduled_Extra_Payments,IF(AND(Pay_Num&lt;&gt;"",Beg_Bal-Sched_Pay&gt;0),Beg_Bal-Sched_Pay,IF(Pay_Num&lt;&gt;"",0,"")))</f>
        <v>0</v>
      </c>
      <c r="F399" s="70">
        <f>IF(AND(Pay_Num&lt;&gt;"",Sched_Pay+Extra_Pay&lt;Beg_Bal),Sched_Pay+Extra_Pay,IF(Pay_Num&lt;&gt;"",Beg_Bal,""))</f>
        <v>0</v>
      </c>
      <c r="G399" s="70">
        <f>IF(Pay_Num&lt;&gt;"",Total_Pay-Int,"")</f>
        <v>0</v>
      </c>
      <c r="H399" s="70">
        <f>IF(Pay_Num&lt;&gt;"",Beg_Bal*Interest_Rate/Num_Pmt_Per_Year,"")</f>
        <v>0</v>
      </c>
      <c r="I399" s="70">
        <f>IF(AND(Pay_Num&lt;&gt;"",Sched_Pay+Extra_Pay&lt;Beg_Bal),Beg_Bal-Princ,IF(Pay_Num&lt;&gt;"",0,""))</f>
        <v>0</v>
      </c>
      <c r="J399" s="70">
        <f>SUM($H$18:$H399)</f>
        <v>8041.5444282238004</v>
      </c>
    </row>
    <row r="400" spans="1:10" x14ac:dyDescent="0.3">
      <c r="A400" s="36">
        <f>IF(Values_Entered,A399+1,"")</f>
        <v>383</v>
      </c>
      <c r="B400" s="35">
        <f>IF(Pay_Num&lt;&gt;"",DATE(YEAR(Loan_Start),MONTH(Loan_Start)+(Pay_Num)*12/Num_Pmt_Per_Year,DAY(Loan_Start)),"")</f>
        <v>57040</v>
      </c>
      <c r="C400" s="70">
        <f>IF(Pay_Num&lt;&gt;"",I399,"")</f>
        <v>0</v>
      </c>
      <c r="D400" s="70">
        <f>IF(Pay_Num&lt;&gt;"",Scheduled_Monthly_Payment,"")</f>
        <v>2418.3976845093252</v>
      </c>
      <c r="E400" s="71">
        <f>IF(AND(Pay_Num&lt;&gt;"",Sched_Pay+Scheduled_Extra_Payments&lt;Beg_Bal),Scheduled_Extra_Payments,IF(AND(Pay_Num&lt;&gt;"",Beg_Bal-Sched_Pay&gt;0),Beg_Bal-Sched_Pay,IF(Pay_Num&lt;&gt;"",0,"")))</f>
        <v>0</v>
      </c>
      <c r="F400" s="70">
        <f>IF(AND(Pay_Num&lt;&gt;"",Sched_Pay+Extra_Pay&lt;Beg_Bal),Sched_Pay+Extra_Pay,IF(Pay_Num&lt;&gt;"",Beg_Bal,""))</f>
        <v>0</v>
      </c>
      <c r="G400" s="70">
        <f>IF(Pay_Num&lt;&gt;"",Total_Pay-Int,"")</f>
        <v>0</v>
      </c>
      <c r="H400" s="70">
        <f>IF(Pay_Num&lt;&gt;"",Beg_Bal*Interest_Rate/Num_Pmt_Per_Year,"")</f>
        <v>0</v>
      </c>
      <c r="I400" s="70">
        <f>IF(AND(Pay_Num&lt;&gt;"",Sched_Pay+Extra_Pay&lt;Beg_Bal),Beg_Bal-Princ,IF(Pay_Num&lt;&gt;"",0,""))</f>
        <v>0</v>
      </c>
      <c r="J400" s="70">
        <f>SUM($H$18:$H400)</f>
        <v>8041.5444282238004</v>
      </c>
    </row>
    <row r="401" spans="1:10" x14ac:dyDescent="0.3">
      <c r="A401" s="36">
        <f>IF(Values_Entered,A400+1,"")</f>
        <v>384</v>
      </c>
      <c r="B401" s="35">
        <f>IF(Pay_Num&lt;&gt;"",DATE(YEAR(Loan_Start),MONTH(Loan_Start)+(Pay_Num)*12/Num_Pmt_Per_Year,DAY(Loan_Start)),"")</f>
        <v>57071</v>
      </c>
      <c r="C401" s="70">
        <f>IF(Pay_Num&lt;&gt;"",I400,"")</f>
        <v>0</v>
      </c>
      <c r="D401" s="70">
        <f>IF(Pay_Num&lt;&gt;"",Scheduled_Monthly_Payment,"")</f>
        <v>2418.3976845093252</v>
      </c>
      <c r="E401" s="71">
        <f>IF(AND(Pay_Num&lt;&gt;"",Sched_Pay+Scheduled_Extra_Payments&lt;Beg_Bal),Scheduled_Extra_Payments,IF(AND(Pay_Num&lt;&gt;"",Beg_Bal-Sched_Pay&gt;0),Beg_Bal-Sched_Pay,IF(Pay_Num&lt;&gt;"",0,"")))</f>
        <v>0</v>
      </c>
      <c r="F401" s="70">
        <f>IF(AND(Pay_Num&lt;&gt;"",Sched_Pay+Extra_Pay&lt;Beg_Bal),Sched_Pay+Extra_Pay,IF(Pay_Num&lt;&gt;"",Beg_Bal,""))</f>
        <v>0</v>
      </c>
      <c r="G401" s="70">
        <f>IF(Pay_Num&lt;&gt;"",Total_Pay-Int,"")</f>
        <v>0</v>
      </c>
      <c r="H401" s="70">
        <f>IF(Pay_Num&lt;&gt;"",Beg_Bal*Interest_Rate/Num_Pmt_Per_Year,"")</f>
        <v>0</v>
      </c>
      <c r="I401" s="70">
        <f>IF(AND(Pay_Num&lt;&gt;"",Sched_Pay+Extra_Pay&lt;Beg_Bal),Beg_Bal-Princ,IF(Pay_Num&lt;&gt;"",0,""))</f>
        <v>0</v>
      </c>
      <c r="J401" s="70">
        <f>SUM($H$18:$H401)</f>
        <v>8041.5444282238004</v>
      </c>
    </row>
    <row r="402" spans="1:10" x14ac:dyDescent="0.3">
      <c r="A402" s="36">
        <f>IF(Values_Entered,A401+1,"")</f>
        <v>385</v>
      </c>
      <c r="B402" s="35">
        <f>IF(Pay_Num&lt;&gt;"",DATE(YEAR(Loan_Start),MONTH(Loan_Start)+(Pay_Num)*12/Num_Pmt_Per_Year,DAY(Loan_Start)),"")</f>
        <v>57101</v>
      </c>
      <c r="C402" s="70">
        <f>IF(Pay_Num&lt;&gt;"",I401,"")</f>
        <v>0</v>
      </c>
      <c r="D402" s="70">
        <f>IF(Pay_Num&lt;&gt;"",Scheduled_Monthly_Payment,"")</f>
        <v>2418.3976845093252</v>
      </c>
      <c r="E402" s="71">
        <f>IF(AND(Pay_Num&lt;&gt;"",Sched_Pay+Scheduled_Extra_Payments&lt;Beg_Bal),Scheduled_Extra_Payments,IF(AND(Pay_Num&lt;&gt;"",Beg_Bal-Sched_Pay&gt;0),Beg_Bal-Sched_Pay,IF(Pay_Num&lt;&gt;"",0,"")))</f>
        <v>0</v>
      </c>
      <c r="F402" s="70">
        <f>IF(AND(Pay_Num&lt;&gt;"",Sched_Pay+Extra_Pay&lt;Beg_Bal),Sched_Pay+Extra_Pay,IF(Pay_Num&lt;&gt;"",Beg_Bal,""))</f>
        <v>0</v>
      </c>
      <c r="G402" s="70">
        <f>IF(Pay_Num&lt;&gt;"",Total_Pay-Int,"")</f>
        <v>0</v>
      </c>
      <c r="H402" s="70">
        <f>IF(Pay_Num&lt;&gt;"",Beg_Bal*Interest_Rate/Num_Pmt_Per_Year,"")</f>
        <v>0</v>
      </c>
      <c r="I402" s="70">
        <f>IF(AND(Pay_Num&lt;&gt;"",Sched_Pay+Extra_Pay&lt;Beg_Bal),Beg_Bal-Princ,IF(Pay_Num&lt;&gt;"",0,""))</f>
        <v>0</v>
      </c>
      <c r="J402" s="70">
        <f>SUM($H$18:$H402)</f>
        <v>8041.5444282238004</v>
      </c>
    </row>
    <row r="403" spans="1:10" x14ac:dyDescent="0.3">
      <c r="A403" s="36">
        <f>IF(Values_Entered,A402+1,"")</f>
        <v>386</v>
      </c>
      <c r="B403" s="35">
        <f>IF(Pay_Num&lt;&gt;"",DATE(YEAR(Loan_Start),MONTH(Loan_Start)+(Pay_Num)*12/Num_Pmt_Per_Year,DAY(Loan_Start)),"")</f>
        <v>57132</v>
      </c>
      <c r="C403" s="70">
        <f>IF(Pay_Num&lt;&gt;"",I402,"")</f>
        <v>0</v>
      </c>
      <c r="D403" s="70">
        <f>IF(Pay_Num&lt;&gt;"",Scheduled_Monthly_Payment,"")</f>
        <v>2418.3976845093252</v>
      </c>
      <c r="E403" s="71">
        <f>IF(AND(Pay_Num&lt;&gt;"",Sched_Pay+Scheduled_Extra_Payments&lt;Beg_Bal),Scheduled_Extra_Payments,IF(AND(Pay_Num&lt;&gt;"",Beg_Bal-Sched_Pay&gt;0),Beg_Bal-Sched_Pay,IF(Pay_Num&lt;&gt;"",0,"")))</f>
        <v>0</v>
      </c>
      <c r="F403" s="70">
        <f>IF(AND(Pay_Num&lt;&gt;"",Sched_Pay+Extra_Pay&lt;Beg_Bal),Sched_Pay+Extra_Pay,IF(Pay_Num&lt;&gt;"",Beg_Bal,""))</f>
        <v>0</v>
      </c>
      <c r="G403" s="70">
        <f>IF(Pay_Num&lt;&gt;"",Total_Pay-Int,"")</f>
        <v>0</v>
      </c>
      <c r="H403" s="70">
        <f>IF(Pay_Num&lt;&gt;"",Beg_Bal*Interest_Rate/Num_Pmt_Per_Year,"")</f>
        <v>0</v>
      </c>
      <c r="I403" s="70">
        <f>IF(AND(Pay_Num&lt;&gt;"",Sched_Pay+Extra_Pay&lt;Beg_Bal),Beg_Bal-Princ,IF(Pay_Num&lt;&gt;"",0,""))</f>
        <v>0</v>
      </c>
      <c r="J403" s="70">
        <f>SUM($H$18:$H403)</f>
        <v>8041.5444282238004</v>
      </c>
    </row>
    <row r="404" spans="1:10" x14ac:dyDescent="0.3">
      <c r="A404" s="36">
        <f>IF(Values_Entered,A403+1,"")</f>
        <v>387</v>
      </c>
      <c r="B404" s="35">
        <f>IF(Pay_Num&lt;&gt;"",DATE(YEAR(Loan_Start),MONTH(Loan_Start)+(Pay_Num)*12/Num_Pmt_Per_Year,DAY(Loan_Start)),"")</f>
        <v>57162</v>
      </c>
      <c r="C404" s="70">
        <f>IF(Pay_Num&lt;&gt;"",I403,"")</f>
        <v>0</v>
      </c>
      <c r="D404" s="70">
        <f>IF(Pay_Num&lt;&gt;"",Scheduled_Monthly_Payment,"")</f>
        <v>2418.3976845093252</v>
      </c>
      <c r="E404" s="71">
        <f>IF(AND(Pay_Num&lt;&gt;"",Sched_Pay+Scheduled_Extra_Payments&lt;Beg_Bal),Scheduled_Extra_Payments,IF(AND(Pay_Num&lt;&gt;"",Beg_Bal-Sched_Pay&gt;0),Beg_Bal-Sched_Pay,IF(Pay_Num&lt;&gt;"",0,"")))</f>
        <v>0</v>
      </c>
      <c r="F404" s="70">
        <f>IF(AND(Pay_Num&lt;&gt;"",Sched_Pay+Extra_Pay&lt;Beg_Bal),Sched_Pay+Extra_Pay,IF(Pay_Num&lt;&gt;"",Beg_Bal,""))</f>
        <v>0</v>
      </c>
      <c r="G404" s="70">
        <f>IF(Pay_Num&lt;&gt;"",Total_Pay-Int,"")</f>
        <v>0</v>
      </c>
      <c r="H404" s="70">
        <f>IF(Pay_Num&lt;&gt;"",Beg_Bal*Interest_Rate/Num_Pmt_Per_Year,"")</f>
        <v>0</v>
      </c>
      <c r="I404" s="70">
        <f>IF(AND(Pay_Num&lt;&gt;"",Sched_Pay+Extra_Pay&lt;Beg_Bal),Beg_Bal-Princ,IF(Pay_Num&lt;&gt;"",0,""))</f>
        <v>0</v>
      </c>
      <c r="J404" s="70">
        <f>SUM($H$18:$H404)</f>
        <v>8041.5444282238004</v>
      </c>
    </row>
    <row r="405" spans="1:10" x14ac:dyDescent="0.3">
      <c r="A405" s="36">
        <f>IF(Values_Entered,A404+1,"")</f>
        <v>388</v>
      </c>
      <c r="B405" s="35">
        <f>IF(Pay_Num&lt;&gt;"",DATE(YEAR(Loan_Start),MONTH(Loan_Start)+(Pay_Num)*12/Num_Pmt_Per_Year,DAY(Loan_Start)),"")</f>
        <v>57193</v>
      </c>
      <c r="C405" s="70">
        <f>IF(Pay_Num&lt;&gt;"",I404,"")</f>
        <v>0</v>
      </c>
      <c r="D405" s="70">
        <f>IF(Pay_Num&lt;&gt;"",Scheduled_Monthly_Payment,"")</f>
        <v>2418.3976845093252</v>
      </c>
      <c r="E405" s="71">
        <f>IF(AND(Pay_Num&lt;&gt;"",Sched_Pay+Scheduled_Extra_Payments&lt;Beg_Bal),Scheduled_Extra_Payments,IF(AND(Pay_Num&lt;&gt;"",Beg_Bal-Sched_Pay&gt;0),Beg_Bal-Sched_Pay,IF(Pay_Num&lt;&gt;"",0,"")))</f>
        <v>0</v>
      </c>
      <c r="F405" s="70">
        <f>IF(AND(Pay_Num&lt;&gt;"",Sched_Pay+Extra_Pay&lt;Beg_Bal),Sched_Pay+Extra_Pay,IF(Pay_Num&lt;&gt;"",Beg_Bal,""))</f>
        <v>0</v>
      </c>
      <c r="G405" s="70">
        <f>IF(Pay_Num&lt;&gt;"",Total_Pay-Int,"")</f>
        <v>0</v>
      </c>
      <c r="H405" s="70">
        <f>IF(Pay_Num&lt;&gt;"",Beg_Bal*Interest_Rate/Num_Pmt_Per_Year,"")</f>
        <v>0</v>
      </c>
      <c r="I405" s="70">
        <f>IF(AND(Pay_Num&lt;&gt;"",Sched_Pay+Extra_Pay&lt;Beg_Bal),Beg_Bal-Princ,IF(Pay_Num&lt;&gt;"",0,""))</f>
        <v>0</v>
      </c>
      <c r="J405" s="70">
        <f>SUM($H$18:$H405)</f>
        <v>8041.5444282238004</v>
      </c>
    </row>
    <row r="406" spans="1:10" x14ac:dyDescent="0.3">
      <c r="A406" s="36">
        <f>IF(Values_Entered,A405+1,"")</f>
        <v>389</v>
      </c>
      <c r="B406" s="35">
        <f>IF(Pay_Num&lt;&gt;"",DATE(YEAR(Loan_Start),MONTH(Loan_Start)+(Pay_Num)*12/Num_Pmt_Per_Year,DAY(Loan_Start)),"")</f>
        <v>57224</v>
      </c>
      <c r="C406" s="70">
        <f>IF(Pay_Num&lt;&gt;"",I405,"")</f>
        <v>0</v>
      </c>
      <c r="D406" s="70">
        <f>IF(Pay_Num&lt;&gt;"",Scheduled_Monthly_Payment,"")</f>
        <v>2418.3976845093252</v>
      </c>
      <c r="E406" s="71">
        <f>IF(AND(Pay_Num&lt;&gt;"",Sched_Pay+Scheduled_Extra_Payments&lt;Beg_Bal),Scheduled_Extra_Payments,IF(AND(Pay_Num&lt;&gt;"",Beg_Bal-Sched_Pay&gt;0),Beg_Bal-Sched_Pay,IF(Pay_Num&lt;&gt;"",0,"")))</f>
        <v>0</v>
      </c>
      <c r="F406" s="70">
        <f>IF(AND(Pay_Num&lt;&gt;"",Sched_Pay+Extra_Pay&lt;Beg_Bal),Sched_Pay+Extra_Pay,IF(Pay_Num&lt;&gt;"",Beg_Bal,""))</f>
        <v>0</v>
      </c>
      <c r="G406" s="70">
        <f>IF(Pay_Num&lt;&gt;"",Total_Pay-Int,"")</f>
        <v>0</v>
      </c>
      <c r="H406" s="70">
        <f>IF(Pay_Num&lt;&gt;"",Beg_Bal*Interest_Rate/Num_Pmt_Per_Year,"")</f>
        <v>0</v>
      </c>
      <c r="I406" s="70">
        <f>IF(AND(Pay_Num&lt;&gt;"",Sched_Pay+Extra_Pay&lt;Beg_Bal),Beg_Bal-Princ,IF(Pay_Num&lt;&gt;"",0,""))</f>
        <v>0</v>
      </c>
      <c r="J406" s="70">
        <f>SUM($H$18:$H406)</f>
        <v>8041.5444282238004</v>
      </c>
    </row>
    <row r="407" spans="1:10" x14ac:dyDescent="0.3">
      <c r="A407" s="36">
        <f>IF(Values_Entered,A406+1,"")</f>
        <v>390</v>
      </c>
      <c r="B407" s="35">
        <f>IF(Pay_Num&lt;&gt;"",DATE(YEAR(Loan_Start),MONTH(Loan_Start)+(Pay_Num)*12/Num_Pmt_Per_Year,DAY(Loan_Start)),"")</f>
        <v>57254</v>
      </c>
      <c r="C407" s="70">
        <f>IF(Pay_Num&lt;&gt;"",I406,"")</f>
        <v>0</v>
      </c>
      <c r="D407" s="70">
        <f>IF(Pay_Num&lt;&gt;"",Scheduled_Monthly_Payment,"")</f>
        <v>2418.3976845093252</v>
      </c>
      <c r="E407" s="71">
        <f>IF(AND(Pay_Num&lt;&gt;"",Sched_Pay+Scheduled_Extra_Payments&lt;Beg_Bal),Scheduled_Extra_Payments,IF(AND(Pay_Num&lt;&gt;"",Beg_Bal-Sched_Pay&gt;0),Beg_Bal-Sched_Pay,IF(Pay_Num&lt;&gt;"",0,"")))</f>
        <v>0</v>
      </c>
      <c r="F407" s="70">
        <f>IF(AND(Pay_Num&lt;&gt;"",Sched_Pay+Extra_Pay&lt;Beg_Bal),Sched_Pay+Extra_Pay,IF(Pay_Num&lt;&gt;"",Beg_Bal,""))</f>
        <v>0</v>
      </c>
      <c r="G407" s="70">
        <f>IF(Pay_Num&lt;&gt;"",Total_Pay-Int,"")</f>
        <v>0</v>
      </c>
      <c r="H407" s="70">
        <f>IF(Pay_Num&lt;&gt;"",Beg_Bal*Interest_Rate/Num_Pmt_Per_Year,"")</f>
        <v>0</v>
      </c>
      <c r="I407" s="70">
        <f>IF(AND(Pay_Num&lt;&gt;"",Sched_Pay+Extra_Pay&lt;Beg_Bal),Beg_Bal-Princ,IF(Pay_Num&lt;&gt;"",0,""))</f>
        <v>0</v>
      </c>
      <c r="J407" s="70">
        <f>SUM($H$18:$H407)</f>
        <v>8041.5444282238004</v>
      </c>
    </row>
    <row r="408" spans="1:10" x14ac:dyDescent="0.3">
      <c r="A408" s="36">
        <f>IF(Values_Entered,A407+1,"")</f>
        <v>391</v>
      </c>
      <c r="B408" s="35">
        <f>IF(Pay_Num&lt;&gt;"",DATE(YEAR(Loan_Start),MONTH(Loan_Start)+(Pay_Num)*12/Num_Pmt_Per_Year,DAY(Loan_Start)),"")</f>
        <v>57285</v>
      </c>
      <c r="C408" s="70">
        <f>IF(Pay_Num&lt;&gt;"",I407,"")</f>
        <v>0</v>
      </c>
      <c r="D408" s="70">
        <f>IF(Pay_Num&lt;&gt;"",Scheduled_Monthly_Payment,"")</f>
        <v>2418.3976845093252</v>
      </c>
      <c r="E408" s="71">
        <f>IF(AND(Pay_Num&lt;&gt;"",Sched_Pay+Scheduled_Extra_Payments&lt;Beg_Bal),Scheduled_Extra_Payments,IF(AND(Pay_Num&lt;&gt;"",Beg_Bal-Sched_Pay&gt;0),Beg_Bal-Sched_Pay,IF(Pay_Num&lt;&gt;"",0,"")))</f>
        <v>0</v>
      </c>
      <c r="F408" s="70">
        <f>IF(AND(Pay_Num&lt;&gt;"",Sched_Pay+Extra_Pay&lt;Beg_Bal),Sched_Pay+Extra_Pay,IF(Pay_Num&lt;&gt;"",Beg_Bal,""))</f>
        <v>0</v>
      </c>
      <c r="G408" s="70">
        <f>IF(Pay_Num&lt;&gt;"",Total_Pay-Int,"")</f>
        <v>0</v>
      </c>
      <c r="H408" s="70">
        <f>IF(Pay_Num&lt;&gt;"",Beg_Bal*Interest_Rate/Num_Pmt_Per_Year,"")</f>
        <v>0</v>
      </c>
      <c r="I408" s="70">
        <f>IF(AND(Pay_Num&lt;&gt;"",Sched_Pay+Extra_Pay&lt;Beg_Bal),Beg_Bal-Princ,IF(Pay_Num&lt;&gt;"",0,""))</f>
        <v>0</v>
      </c>
      <c r="J408" s="70">
        <f>SUM($H$18:$H408)</f>
        <v>8041.5444282238004</v>
      </c>
    </row>
    <row r="409" spans="1:10" x14ac:dyDescent="0.3">
      <c r="A409" s="36">
        <f>IF(Values_Entered,A408+1,"")</f>
        <v>392</v>
      </c>
      <c r="B409" s="35">
        <f>IF(Pay_Num&lt;&gt;"",DATE(YEAR(Loan_Start),MONTH(Loan_Start)+(Pay_Num)*12/Num_Pmt_Per_Year,DAY(Loan_Start)),"")</f>
        <v>57315</v>
      </c>
      <c r="C409" s="70">
        <f>IF(Pay_Num&lt;&gt;"",I408,"")</f>
        <v>0</v>
      </c>
      <c r="D409" s="70">
        <f>IF(Pay_Num&lt;&gt;"",Scheduled_Monthly_Payment,"")</f>
        <v>2418.3976845093252</v>
      </c>
      <c r="E409" s="71">
        <f>IF(AND(Pay_Num&lt;&gt;"",Sched_Pay+Scheduled_Extra_Payments&lt;Beg_Bal),Scheduled_Extra_Payments,IF(AND(Pay_Num&lt;&gt;"",Beg_Bal-Sched_Pay&gt;0),Beg_Bal-Sched_Pay,IF(Pay_Num&lt;&gt;"",0,"")))</f>
        <v>0</v>
      </c>
      <c r="F409" s="70">
        <f>IF(AND(Pay_Num&lt;&gt;"",Sched_Pay+Extra_Pay&lt;Beg_Bal),Sched_Pay+Extra_Pay,IF(Pay_Num&lt;&gt;"",Beg_Bal,""))</f>
        <v>0</v>
      </c>
      <c r="G409" s="70">
        <f>IF(Pay_Num&lt;&gt;"",Total_Pay-Int,"")</f>
        <v>0</v>
      </c>
      <c r="H409" s="70">
        <f>IF(Pay_Num&lt;&gt;"",Beg_Bal*Interest_Rate/Num_Pmt_Per_Year,"")</f>
        <v>0</v>
      </c>
      <c r="I409" s="70">
        <f>IF(AND(Pay_Num&lt;&gt;"",Sched_Pay+Extra_Pay&lt;Beg_Bal),Beg_Bal-Princ,IF(Pay_Num&lt;&gt;"",0,""))</f>
        <v>0</v>
      </c>
      <c r="J409" s="70">
        <f>SUM($H$18:$H409)</f>
        <v>8041.5444282238004</v>
      </c>
    </row>
    <row r="410" spans="1:10" x14ac:dyDescent="0.3">
      <c r="A410" s="36">
        <f>IF(Values_Entered,A409+1,"")</f>
        <v>393</v>
      </c>
      <c r="B410" s="35">
        <f>IF(Pay_Num&lt;&gt;"",DATE(YEAR(Loan_Start),MONTH(Loan_Start)+(Pay_Num)*12/Num_Pmt_Per_Year,DAY(Loan_Start)),"")</f>
        <v>57346</v>
      </c>
      <c r="C410" s="70">
        <f>IF(Pay_Num&lt;&gt;"",I409,"")</f>
        <v>0</v>
      </c>
      <c r="D410" s="70">
        <f>IF(Pay_Num&lt;&gt;"",Scheduled_Monthly_Payment,"")</f>
        <v>2418.3976845093252</v>
      </c>
      <c r="E410" s="71">
        <f>IF(AND(Pay_Num&lt;&gt;"",Sched_Pay+Scheduled_Extra_Payments&lt;Beg_Bal),Scheduled_Extra_Payments,IF(AND(Pay_Num&lt;&gt;"",Beg_Bal-Sched_Pay&gt;0),Beg_Bal-Sched_Pay,IF(Pay_Num&lt;&gt;"",0,"")))</f>
        <v>0</v>
      </c>
      <c r="F410" s="70">
        <f>IF(AND(Pay_Num&lt;&gt;"",Sched_Pay+Extra_Pay&lt;Beg_Bal),Sched_Pay+Extra_Pay,IF(Pay_Num&lt;&gt;"",Beg_Bal,""))</f>
        <v>0</v>
      </c>
      <c r="G410" s="70">
        <f>IF(Pay_Num&lt;&gt;"",Total_Pay-Int,"")</f>
        <v>0</v>
      </c>
      <c r="H410" s="70">
        <f>IF(Pay_Num&lt;&gt;"",Beg_Bal*Interest_Rate/Num_Pmt_Per_Year,"")</f>
        <v>0</v>
      </c>
      <c r="I410" s="70">
        <f>IF(AND(Pay_Num&lt;&gt;"",Sched_Pay+Extra_Pay&lt;Beg_Bal),Beg_Bal-Princ,IF(Pay_Num&lt;&gt;"",0,""))</f>
        <v>0</v>
      </c>
      <c r="J410" s="70">
        <f>SUM($H$18:$H410)</f>
        <v>8041.5444282238004</v>
      </c>
    </row>
    <row r="411" spans="1:10" x14ac:dyDescent="0.3">
      <c r="A411" s="36">
        <f>IF(Values_Entered,A410+1,"")</f>
        <v>394</v>
      </c>
      <c r="B411" s="35">
        <f>IF(Pay_Num&lt;&gt;"",DATE(YEAR(Loan_Start),MONTH(Loan_Start)+(Pay_Num)*12/Num_Pmt_Per_Year,DAY(Loan_Start)),"")</f>
        <v>57377</v>
      </c>
      <c r="C411" s="70">
        <f>IF(Pay_Num&lt;&gt;"",I410,"")</f>
        <v>0</v>
      </c>
      <c r="D411" s="70">
        <f>IF(Pay_Num&lt;&gt;"",Scheduled_Monthly_Payment,"")</f>
        <v>2418.3976845093252</v>
      </c>
      <c r="E411" s="71">
        <f>IF(AND(Pay_Num&lt;&gt;"",Sched_Pay+Scheduled_Extra_Payments&lt;Beg_Bal),Scheduled_Extra_Payments,IF(AND(Pay_Num&lt;&gt;"",Beg_Bal-Sched_Pay&gt;0),Beg_Bal-Sched_Pay,IF(Pay_Num&lt;&gt;"",0,"")))</f>
        <v>0</v>
      </c>
      <c r="F411" s="70">
        <f>IF(AND(Pay_Num&lt;&gt;"",Sched_Pay+Extra_Pay&lt;Beg_Bal),Sched_Pay+Extra_Pay,IF(Pay_Num&lt;&gt;"",Beg_Bal,""))</f>
        <v>0</v>
      </c>
      <c r="G411" s="70">
        <f>IF(Pay_Num&lt;&gt;"",Total_Pay-Int,"")</f>
        <v>0</v>
      </c>
      <c r="H411" s="70">
        <f>IF(Pay_Num&lt;&gt;"",Beg_Bal*Interest_Rate/Num_Pmt_Per_Year,"")</f>
        <v>0</v>
      </c>
      <c r="I411" s="70">
        <f>IF(AND(Pay_Num&lt;&gt;"",Sched_Pay+Extra_Pay&lt;Beg_Bal),Beg_Bal-Princ,IF(Pay_Num&lt;&gt;"",0,""))</f>
        <v>0</v>
      </c>
      <c r="J411" s="70">
        <f>SUM($H$18:$H411)</f>
        <v>8041.5444282238004</v>
      </c>
    </row>
    <row r="412" spans="1:10" x14ac:dyDescent="0.3">
      <c r="A412" s="36">
        <f>IF(Values_Entered,A411+1,"")</f>
        <v>395</v>
      </c>
      <c r="B412" s="35">
        <f>IF(Pay_Num&lt;&gt;"",DATE(YEAR(Loan_Start),MONTH(Loan_Start)+(Pay_Num)*12/Num_Pmt_Per_Year,DAY(Loan_Start)),"")</f>
        <v>57405</v>
      </c>
      <c r="C412" s="70">
        <f>IF(Pay_Num&lt;&gt;"",I411,"")</f>
        <v>0</v>
      </c>
      <c r="D412" s="70">
        <f>IF(Pay_Num&lt;&gt;"",Scheduled_Monthly_Payment,"")</f>
        <v>2418.3976845093252</v>
      </c>
      <c r="E412" s="71">
        <f>IF(AND(Pay_Num&lt;&gt;"",Sched_Pay+Scheduled_Extra_Payments&lt;Beg_Bal),Scheduled_Extra_Payments,IF(AND(Pay_Num&lt;&gt;"",Beg_Bal-Sched_Pay&gt;0),Beg_Bal-Sched_Pay,IF(Pay_Num&lt;&gt;"",0,"")))</f>
        <v>0</v>
      </c>
      <c r="F412" s="70">
        <f>IF(AND(Pay_Num&lt;&gt;"",Sched_Pay+Extra_Pay&lt;Beg_Bal),Sched_Pay+Extra_Pay,IF(Pay_Num&lt;&gt;"",Beg_Bal,""))</f>
        <v>0</v>
      </c>
      <c r="G412" s="70">
        <f>IF(Pay_Num&lt;&gt;"",Total_Pay-Int,"")</f>
        <v>0</v>
      </c>
      <c r="H412" s="70">
        <f>IF(Pay_Num&lt;&gt;"",Beg_Bal*Interest_Rate/Num_Pmt_Per_Year,"")</f>
        <v>0</v>
      </c>
      <c r="I412" s="70">
        <f>IF(AND(Pay_Num&lt;&gt;"",Sched_Pay+Extra_Pay&lt;Beg_Bal),Beg_Bal-Princ,IF(Pay_Num&lt;&gt;"",0,""))</f>
        <v>0</v>
      </c>
      <c r="J412" s="70">
        <f>SUM($H$18:$H412)</f>
        <v>8041.5444282238004</v>
      </c>
    </row>
    <row r="413" spans="1:10" x14ac:dyDescent="0.3">
      <c r="A413" s="36">
        <f>IF(Values_Entered,A412+1,"")</f>
        <v>396</v>
      </c>
      <c r="B413" s="35">
        <f>IF(Pay_Num&lt;&gt;"",DATE(YEAR(Loan_Start),MONTH(Loan_Start)+(Pay_Num)*12/Num_Pmt_Per_Year,DAY(Loan_Start)),"")</f>
        <v>57436</v>
      </c>
      <c r="C413" s="70">
        <f>IF(Pay_Num&lt;&gt;"",I412,"")</f>
        <v>0</v>
      </c>
      <c r="D413" s="70">
        <f>IF(Pay_Num&lt;&gt;"",Scheduled_Monthly_Payment,"")</f>
        <v>2418.3976845093252</v>
      </c>
      <c r="E413" s="71">
        <f>IF(AND(Pay_Num&lt;&gt;"",Sched_Pay+Scheduled_Extra_Payments&lt;Beg_Bal),Scheduled_Extra_Payments,IF(AND(Pay_Num&lt;&gt;"",Beg_Bal-Sched_Pay&gt;0),Beg_Bal-Sched_Pay,IF(Pay_Num&lt;&gt;"",0,"")))</f>
        <v>0</v>
      </c>
      <c r="F413" s="70">
        <f>IF(AND(Pay_Num&lt;&gt;"",Sched_Pay+Extra_Pay&lt;Beg_Bal),Sched_Pay+Extra_Pay,IF(Pay_Num&lt;&gt;"",Beg_Bal,""))</f>
        <v>0</v>
      </c>
      <c r="G413" s="70">
        <f>IF(Pay_Num&lt;&gt;"",Total_Pay-Int,"")</f>
        <v>0</v>
      </c>
      <c r="H413" s="70">
        <f>IF(Pay_Num&lt;&gt;"",Beg_Bal*Interest_Rate/Num_Pmt_Per_Year,"")</f>
        <v>0</v>
      </c>
      <c r="I413" s="70">
        <f>IF(AND(Pay_Num&lt;&gt;"",Sched_Pay+Extra_Pay&lt;Beg_Bal),Beg_Bal-Princ,IF(Pay_Num&lt;&gt;"",0,""))</f>
        <v>0</v>
      </c>
      <c r="J413" s="70">
        <f>SUM($H$18:$H413)</f>
        <v>8041.5444282238004</v>
      </c>
    </row>
    <row r="414" spans="1:10" x14ac:dyDescent="0.3">
      <c r="A414" s="36">
        <f>IF(Values_Entered,A413+1,"")</f>
        <v>397</v>
      </c>
      <c r="B414" s="35">
        <f>IF(Pay_Num&lt;&gt;"",DATE(YEAR(Loan_Start),MONTH(Loan_Start)+(Pay_Num)*12/Num_Pmt_Per_Year,DAY(Loan_Start)),"")</f>
        <v>57466</v>
      </c>
      <c r="C414" s="70">
        <f>IF(Pay_Num&lt;&gt;"",I413,"")</f>
        <v>0</v>
      </c>
      <c r="D414" s="70">
        <f>IF(Pay_Num&lt;&gt;"",Scheduled_Monthly_Payment,"")</f>
        <v>2418.3976845093252</v>
      </c>
      <c r="E414" s="71">
        <f>IF(AND(Pay_Num&lt;&gt;"",Sched_Pay+Scheduled_Extra_Payments&lt;Beg_Bal),Scheduled_Extra_Payments,IF(AND(Pay_Num&lt;&gt;"",Beg_Bal-Sched_Pay&gt;0),Beg_Bal-Sched_Pay,IF(Pay_Num&lt;&gt;"",0,"")))</f>
        <v>0</v>
      </c>
      <c r="F414" s="70">
        <f>IF(AND(Pay_Num&lt;&gt;"",Sched_Pay+Extra_Pay&lt;Beg_Bal),Sched_Pay+Extra_Pay,IF(Pay_Num&lt;&gt;"",Beg_Bal,""))</f>
        <v>0</v>
      </c>
      <c r="G414" s="70">
        <f>IF(Pay_Num&lt;&gt;"",Total_Pay-Int,"")</f>
        <v>0</v>
      </c>
      <c r="H414" s="70">
        <f>IF(Pay_Num&lt;&gt;"",Beg_Bal*Interest_Rate/Num_Pmt_Per_Year,"")</f>
        <v>0</v>
      </c>
      <c r="I414" s="70">
        <f>IF(AND(Pay_Num&lt;&gt;"",Sched_Pay+Extra_Pay&lt;Beg_Bal),Beg_Bal-Princ,IF(Pay_Num&lt;&gt;"",0,""))</f>
        <v>0</v>
      </c>
      <c r="J414" s="70">
        <f>SUM($H$18:$H414)</f>
        <v>8041.5444282238004</v>
      </c>
    </row>
    <row r="415" spans="1:10" x14ac:dyDescent="0.3">
      <c r="A415" s="36">
        <f>IF(Values_Entered,A414+1,"")</f>
        <v>398</v>
      </c>
      <c r="B415" s="35">
        <f>IF(Pay_Num&lt;&gt;"",DATE(YEAR(Loan_Start),MONTH(Loan_Start)+(Pay_Num)*12/Num_Pmt_Per_Year,DAY(Loan_Start)),"")</f>
        <v>57497</v>
      </c>
      <c r="C415" s="70">
        <f>IF(Pay_Num&lt;&gt;"",I414,"")</f>
        <v>0</v>
      </c>
      <c r="D415" s="70">
        <f>IF(Pay_Num&lt;&gt;"",Scheduled_Monthly_Payment,"")</f>
        <v>2418.3976845093252</v>
      </c>
      <c r="E415" s="71">
        <f>IF(AND(Pay_Num&lt;&gt;"",Sched_Pay+Scheduled_Extra_Payments&lt;Beg_Bal),Scheduled_Extra_Payments,IF(AND(Pay_Num&lt;&gt;"",Beg_Bal-Sched_Pay&gt;0),Beg_Bal-Sched_Pay,IF(Pay_Num&lt;&gt;"",0,"")))</f>
        <v>0</v>
      </c>
      <c r="F415" s="70">
        <f>IF(AND(Pay_Num&lt;&gt;"",Sched_Pay+Extra_Pay&lt;Beg_Bal),Sched_Pay+Extra_Pay,IF(Pay_Num&lt;&gt;"",Beg_Bal,""))</f>
        <v>0</v>
      </c>
      <c r="G415" s="70">
        <f>IF(Pay_Num&lt;&gt;"",Total_Pay-Int,"")</f>
        <v>0</v>
      </c>
      <c r="H415" s="70">
        <f>IF(Pay_Num&lt;&gt;"",Beg_Bal*Interest_Rate/Num_Pmt_Per_Year,"")</f>
        <v>0</v>
      </c>
      <c r="I415" s="70">
        <f>IF(AND(Pay_Num&lt;&gt;"",Sched_Pay+Extra_Pay&lt;Beg_Bal),Beg_Bal-Princ,IF(Pay_Num&lt;&gt;"",0,""))</f>
        <v>0</v>
      </c>
      <c r="J415" s="70">
        <f>SUM($H$18:$H415)</f>
        <v>8041.5444282238004</v>
      </c>
    </row>
    <row r="416" spans="1:10" x14ac:dyDescent="0.3">
      <c r="A416" s="36">
        <f>IF(Values_Entered,A415+1,"")</f>
        <v>399</v>
      </c>
      <c r="B416" s="35">
        <f>IF(Pay_Num&lt;&gt;"",DATE(YEAR(Loan_Start),MONTH(Loan_Start)+(Pay_Num)*12/Num_Pmt_Per_Year,DAY(Loan_Start)),"")</f>
        <v>57527</v>
      </c>
      <c r="C416" s="70">
        <f>IF(Pay_Num&lt;&gt;"",I415,"")</f>
        <v>0</v>
      </c>
      <c r="D416" s="70">
        <f>IF(Pay_Num&lt;&gt;"",Scheduled_Monthly_Payment,"")</f>
        <v>2418.3976845093252</v>
      </c>
      <c r="E416" s="71">
        <f>IF(AND(Pay_Num&lt;&gt;"",Sched_Pay+Scheduled_Extra_Payments&lt;Beg_Bal),Scheduled_Extra_Payments,IF(AND(Pay_Num&lt;&gt;"",Beg_Bal-Sched_Pay&gt;0),Beg_Bal-Sched_Pay,IF(Pay_Num&lt;&gt;"",0,"")))</f>
        <v>0</v>
      </c>
      <c r="F416" s="70">
        <f>IF(AND(Pay_Num&lt;&gt;"",Sched_Pay+Extra_Pay&lt;Beg_Bal),Sched_Pay+Extra_Pay,IF(Pay_Num&lt;&gt;"",Beg_Bal,""))</f>
        <v>0</v>
      </c>
      <c r="G416" s="70">
        <f>IF(Pay_Num&lt;&gt;"",Total_Pay-Int,"")</f>
        <v>0</v>
      </c>
      <c r="H416" s="70">
        <f>IF(Pay_Num&lt;&gt;"",Beg_Bal*Interest_Rate/Num_Pmt_Per_Year,"")</f>
        <v>0</v>
      </c>
      <c r="I416" s="70">
        <f>IF(AND(Pay_Num&lt;&gt;"",Sched_Pay+Extra_Pay&lt;Beg_Bal),Beg_Bal-Princ,IF(Pay_Num&lt;&gt;"",0,""))</f>
        <v>0</v>
      </c>
      <c r="J416" s="70">
        <f>SUM($H$18:$H416)</f>
        <v>8041.5444282238004</v>
      </c>
    </row>
    <row r="417" spans="1:10" x14ac:dyDescent="0.3">
      <c r="A417" s="36">
        <f>IF(Values_Entered,A416+1,"")</f>
        <v>400</v>
      </c>
      <c r="B417" s="35">
        <f>IF(Pay_Num&lt;&gt;"",DATE(YEAR(Loan_Start),MONTH(Loan_Start)+(Pay_Num)*12/Num_Pmt_Per_Year,DAY(Loan_Start)),"")</f>
        <v>57558</v>
      </c>
      <c r="C417" s="70">
        <f>IF(Pay_Num&lt;&gt;"",I416,"")</f>
        <v>0</v>
      </c>
      <c r="D417" s="70">
        <f>IF(Pay_Num&lt;&gt;"",Scheduled_Monthly_Payment,"")</f>
        <v>2418.3976845093252</v>
      </c>
      <c r="E417" s="71">
        <f>IF(AND(Pay_Num&lt;&gt;"",Sched_Pay+Scheduled_Extra_Payments&lt;Beg_Bal),Scheduled_Extra_Payments,IF(AND(Pay_Num&lt;&gt;"",Beg_Bal-Sched_Pay&gt;0),Beg_Bal-Sched_Pay,IF(Pay_Num&lt;&gt;"",0,"")))</f>
        <v>0</v>
      </c>
      <c r="F417" s="70">
        <f>IF(AND(Pay_Num&lt;&gt;"",Sched_Pay+Extra_Pay&lt;Beg_Bal),Sched_Pay+Extra_Pay,IF(Pay_Num&lt;&gt;"",Beg_Bal,""))</f>
        <v>0</v>
      </c>
      <c r="G417" s="70">
        <f>IF(Pay_Num&lt;&gt;"",Total_Pay-Int,"")</f>
        <v>0</v>
      </c>
      <c r="H417" s="70">
        <f>IF(Pay_Num&lt;&gt;"",Beg_Bal*Interest_Rate/Num_Pmt_Per_Year,"")</f>
        <v>0</v>
      </c>
      <c r="I417" s="70">
        <f>IF(AND(Pay_Num&lt;&gt;"",Sched_Pay+Extra_Pay&lt;Beg_Bal),Beg_Bal-Princ,IF(Pay_Num&lt;&gt;"",0,""))</f>
        <v>0</v>
      </c>
      <c r="J417" s="70">
        <f>SUM($H$18:$H417)</f>
        <v>8041.5444282238004</v>
      </c>
    </row>
    <row r="418" spans="1:10" x14ac:dyDescent="0.3">
      <c r="A418" s="36">
        <f>IF(Values_Entered,A417+1,"")</f>
        <v>401</v>
      </c>
      <c r="B418" s="35">
        <f>IF(Pay_Num&lt;&gt;"",DATE(YEAR(Loan_Start),MONTH(Loan_Start)+(Pay_Num)*12/Num_Pmt_Per_Year,DAY(Loan_Start)),"")</f>
        <v>57589</v>
      </c>
      <c r="C418" s="70">
        <f>IF(Pay_Num&lt;&gt;"",I417,"")</f>
        <v>0</v>
      </c>
      <c r="D418" s="70">
        <f>IF(Pay_Num&lt;&gt;"",Scheduled_Monthly_Payment,"")</f>
        <v>2418.3976845093252</v>
      </c>
      <c r="E418" s="71">
        <f>IF(AND(Pay_Num&lt;&gt;"",Sched_Pay+Scheduled_Extra_Payments&lt;Beg_Bal),Scheduled_Extra_Payments,IF(AND(Pay_Num&lt;&gt;"",Beg_Bal-Sched_Pay&gt;0),Beg_Bal-Sched_Pay,IF(Pay_Num&lt;&gt;"",0,"")))</f>
        <v>0</v>
      </c>
      <c r="F418" s="70">
        <f>IF(AND(Pay_Num&lt;&gt;"",Sched_Pay+Extra_Pay&lt;Beg_Bal),Sched_Pay+Extra_Pay,IF(Pay_Num&lt;&gt;"",Beg_Bal,""))</f>
        <v>0</v>
      </c>
      <c r="G418" s="70">
        <f>IF(Pay_Num&lt;&gt;"",Total_Pay-Int,"")</f>
        <v>0</v>
      </c>
      <c r="H418" s="70">
        <f>IF(Pay_Num&lt;&gt;"",Beg_Bal*Interest_Rate/Num_Pmt_Per_Year,"")</f>
        <v>0</v>
      </c>
      <c r="I418" s="70">
        <f>IF(AND(Pay_Num&lt;&gt;"",Sched_Pay+Extra_Pay&lt;Beg_Bal),Beg_Bal-Princ,IF(Pay_Num&lt;&gt;"",0,""))</f>
        <v>0</v>
      </c>
      <c r="J418" s="70">
        <f>SUM($H$18:$H418)</f>
        <v>8041.5444282238004</v>
      </c>
    </row>
    <row r="419" spans="1:10" x14ac:dyDescent="0.3">
      <c r="A419" s="36">
        <f>IF(Values_Entered,A418+1,"")</f>
        <v>402</v>
      </c>
      <c r="B419" s="35">
        <f>IF(Pay_Num&lt;&gt;"",DATE(YEAR(Loan_Start),MONTH(Loan_Start)+(Pay_Num)*12/Num_Pmt_Per_Year,DAY(Loan_Start)),"")</f>
        <v>57619</v>
      </c>
      <c r="C419" s="70">
        <f>IF(Pay_Num&lt;&gt;"",I418,"")</f>
        <v>0</v>
      </c>
      <c r="D419" s="70">
        <f>IF(Pay_Num&lt;&gt;"",Scheduled_Monthly_Payment,"")</f>
        <v>2418.3976845093252</v>
      </c>
      <c r="E419" s="71">
        <f>IF(AND(Pay_Num&lt;&gt;"",Sched_Pay+Scheduled_Extra_Payments&lt;Beg_Bal),Scheduled_Extra_Payments,IF(AND(Pay_Num&lt;&gt;"",Beg_Bal-Sched_Pay&gt;0),Beg_Bal-Sched_Pay,IF(Pay_Num&lt;&gt;"",0,"")))</f>
        <v>0</v>
      </c>
      <c r="F419" s="70">
        <f>IF(AND(Pay_Num&lt;&gt;"",Sched_Pay+Extra_Pay&lt;Beg_Bal),Sched_Pay+Extra_Pay,IF(Pay_Num&lt;&gt;"",Beg_Bal,""))</f>
        <v>0</v>
      </c>
      <c r="G419" s="70">
        <f>IF(Pay_Num&lt;&gt;"",Total_Pay-Int,"")</f>
        <v>0</v>
      </c>
      <c r="H419" s="70">
        <f>IF(Pay_Num&lt;&gt;"",Beg_Bal*Interest_Rate/Num_Pmt_Per_Year,"")</f>
        <v>0</v>
      </c>
      <c r="I419" s="70">
        <f>IF(AND(Pay_Num&lt;&gt;"",Sched_Pay+Extra_Pay&lt;Beg_Bal),Beg_Bal-Princ,IF(Pay_Num&lt;&gt;"",0,""))</f>
        <v>0</v>
      </c>
      <c r="J419" s="70">
        <f>SUM($H$18:$H419)</f>
        <v>8041.5444282238004</v>
      </c>
    </row>
    <row r="420" spans="1:10" x14ac:dyDescent="0.3">
      <c r="A420" s="36">
        <f>IF(Values_Entered,A419+1,"")</f>
        <v>403</v>
      </c>
      <c r="B420" s="35">
        <f>IF(Pay_Num&lt;&gt;"",DATE(YEAR(Loan_Start),MONTH(Loan_Start)+(Pay_Num)*12/Num_Pmt_Per_Year,DAY(Loan_Start)),"")</f>
        <v>57650</v>
      </c>
      <c r="C420" s="70">
        <f>IF(Pay_Num&lt;&gt;"",I419,"")</f>
        <v>0</v>
      </c>
      <c r="D420" s="70">
        <f>IF(Pay_Num&lt;&gt;"",Scheduled_Monthly_Payment,"")</f>
        <v>2418.3976845093252</v>
      </c>
      <c r="E420" s="71">
        <f>IF(AND(Pay_Num&lt;&gt;"",Sched_Pay+Scheduled_Extra_Payments&lt;Beg_Bal),Scheduled_Extra_Payments,IF(AND(Pay_Num&lt;&gt;"",Beg_Bal-Sched_Pay&gt;0),Beg_Bal-Sched_Pay,IF(Pay_Num&lt;&gt;"",0,"")))</f>
        <v>0</v>
      </c>
      <c r="F420" s="70">
        <f>IF(AND(Pay_Num&lt;&gt;"",Sched_Pay+Extra_Pay&lt;Beg_Bal),Sched_Pay+Extra_Pay,IF(Pay_Num&lt;&gt;"",Beg_Bal,""))</f>
        <v>0</v>
      </c>
      <c r="G420" s="70">
        <f>IF(Pay_Num&lt;&gt;"",Total_Pay-Int,"")</f>
        <v>0</v>
      </c>
      <c r="H420" s="70">
        <f>IF(Pay_Num&lt;&gt;"",Beg_Bal*Interest_Rate/Num_Pmt_Per_Year,"")</f>
        <v>0</v>
      </c>
      <c r="I420" s="70">
        <f>IF(AND(Pay_Num&lt;&gt;"",Sched_Pay+Extra_Pay&lt;Beg_Bal),Beg_Bal-Princ,IF(Pay_Num&lt;&gt;"",0,""))</f>
        <v>0</v>
      </c>
      <c r="J420" s="70">
        <f>SUM($H$18:$H420)</f>
        <v>8041.5444282238004</v>
      </c>
    </row>
    <row r="421" spans="1:10" x14ac:dyDescent="0.3">
      <c r="A421" s="36">
        <f>IF(Values_Entered,A420+1,"")</f>
        <v>404</v>
      </c>
      <c r="B421" s="35">
        <f>IF(Pay_Num&lt;&gt;"",DATE(YEAR(Loan_Start),MONTH(Loan_Start)+(Pay_Num)*12/Num_Pmt_Per_Year,DAY(Loan_Start)),"")</f>
        <v>57680</v>
      </c>
      <c r="C421" s="70">
        <f>IF(Pay_Num&lt;&gt;"",I420,"")</f>
        <v>0</v>
      </c>
      <c r="D421" s="70">
        <f>IF(Pay_Num&lt;&gt;"",Scheduled_Monthly_Payment,"")</f>
        <v>2418.3976845093252</v>
      </c>
      <c r="E421" s="71">
        <f>IF(AND(Pay_Num&lt;&gt;"",Sched_Pay+Scheduled_Extra_Payments&lt;Beg_Bal),Scheduled_Extra_Payments,IF(AND(Pay_Num&lt;&gt;"",Beg_Bal-Sched_Pay&gt;0),Beg_Bal-Sched_Pay,IF(Pay_Num&lt;&gt;"",0,"")))</f>
        <v>0</v>
      </c>
      <c r="F421" s="70">
        <f>IF(AND(Pay_Num&lt;&gt;"",Sched_Pay+Extra_Pay&lt;Beg_Bal),Sched_Pay+Extra_Pay,IF(Pay_Num&lt;&gt;"",Beg_Bal,""))</f>
        <v>0</v>
      </c>
      <c r="G421" s="70">
        <f>IF(Pay_Num&lt;&gt;"",Total_Pay-Int,"")</f>
        <v>0</v>
      </c>
      <c r="H421" s="70">
        <f>IF(Pay_Num&lt;&gt;"",Beg_Bal*Interest_Rate/Num_Pmt_Per_Year,"")</f>
        <v>0</v>
      </c>
      <c r="I421" s="70">
        <f>IF(AND(Pay_Num&lt;&gt;"",Sched_Pay+Extra_Pay&lt;Beg_Bal),Beg_Bal-Princ,IF(Pay_Num&lt;&gt;"",0,""))</f>
        <v>0</v>
      </c>
      <c r="J421" s="70">
        <f>SUM($H$18:$H421)</f>
        <v>8041.5444282238004</v>
      </c>
    </row>
    <row r="422" spans="1:10" x14ac:dyDescent="0.3">
      <c r="A422" s="36">
        <f>IF(Values_Entered,A421+1,"")</f>
        <v>405</v>
      </c>
      <c r="B422" s="35">
        <f>IF(Pay_Num&lt;&gt;"",DATE(YEAR(Loan_Start),MONTH(Loan_Start)+(Pay_Num)*12/Num_Pmt_Per_Year,DAY(Loan_Start)),"")</f>
        <v>57711</v>
      </c>
      <c r="C422" s="70">
        <f>IF(Pay_Num&lt;&gt;"",I421,"")</f>
        <v>0</v>
      </c>
      <c r="D422" s="70">
        <f>IF(Pay_Num&lt;&gt;"",Scheduled_Monthly_Payment,"")</f>
        <v>2418.3976845093252</v>
      </c>
      <c r="E422" s="71">
        <f>IF(AND(Pay_Num&lt;&gt;"",Sched_Pay+Scheduled_Extra_Payments&lt;Beg_Bal),Scheduled_Extra_Payments,IF(AND(Pay_Num&lt;&gt;"",Beg_Bal-Sched_Pay&gt;0),Beg_Bal-Sched_Pay,IF(Pay_Num&lt;&gt;"",0,"")))</f>
        <v>0</v>
      </c>
      <c r="F422" s="70">
        <f>IF(AND(Pay_Num&lt;&gt;"",Sched_Pay+Extra_Pay&lt;Beg_Bal),Sched_Pay+Extra_Pay,IF(Pay_Num&lt;&gt;"",Beg_Bal,""))</f>
        <v>0</v>
      </c>
      <c r="G422" s="70">
        <f>IF(Pay_Num&lt;&gt;"",Total_Pay-Int,"")</f>
        <v>0</v>
      </c>
      <c r="H422" s="70">
        <f>IF(Pay_Num&lt;&gt;"",Beg_Bal*Interest_Rate/Num_Pmt_Per_Year,"")</f>
        <v>0</v>
      </c>
      <c r="I422" s="70">
        <f>IF(AND(Pay_Num&lt;&gt;"",Sched_Pay+Extra_Pay&lt;Beg_Bal),Beg_Bal-Princ,IF(Pay_Num&lt;&gt;"",0,""))</f>
        <v>0</v>
      </c>
      <c r="J422" s="70">
        <f>SUM($H$18:$H422)</f>
        <v>8041.5444282238004</v>
      </c>
    </row>
    <row r="423" spans="1:10" x14ac:dyDescent="0.3">
      <c r="A423" s="36">
        <f>IF(Values_Entered,A422+1,"")</f>
        <v>406</v>
      </c>
      <c r="B423" s="35">
        <f>IF(Pay_Num&lt;&gt;"",DATE(YEAR(Loan_Start),MONTH(Loan_Start)+(Pay_Num)*12/Num_Pmt_Per_Year,DAY(Loan_Start)),"")</f>
        <v>57742</v>
      </c>
      <c r="C423" s="70">
        <f>IF(Pay_Num&lt;&gt;"",I422,"")</f>
        <v>0</v>
      </c>
      <c r="D423" s="70">
        <f>IF(Pay_Num&lt;&gt;"",Scheduled_Monthly_Payment,"")</f>
        <v>2418.3976845093252</v>
      </c>
      <c r="E423" s="71">
        <f>IF(AND(Pay_Num&lt;&gt;"",Sched_Pay+Scheduled_Extra_Payments&lt;Beg_Bal),Scheduled_Extra_Payments,IF(AND(Pay_Num&lt;&gt;"",Beg_Bal-Sched_Pay&gt;0),Beg_Bal-Sched_Pay,IF(Pay_Num&lt;&gt;"",0,"")))</f>
        <v>0</v>
      </c>
      <c r="F423" s="70">
        <f>IF(AND(Pay_Num&lt;&gt;"",Sched_Pay+Extra_Pay&lt;Beg_Bal),Sched_Pay+Extra_Pay,IF(Pay_Num&lt;&gt;"",Beg_Bal,""))</f>
        <v>0</v>
      </c>
      <c r="G423" s="70">
        <f>IF(Pay_Num&lt;&gt;"",Total_Pay-Int,"")</f>
        <v>0</v>
      </c>
      <c r="H423" s="70">
        <f>IF(Pay_Num&lt;&gt;"",Beg_Bal*Interest_Rate/Num_Pmt_Per_Year,"")</f>
        <v>0</v>
      </c>
      <c r="I423" s="70">
        <f>IF(AND(Pay_Num&lt;&gt;"",Sched_Pay+Extra_Pay&lt;Beg_Bal),Beg_Bal-Princ,IF(Pay_Num&lt;&gt;"",0,""))</f>
        <v>0</v>
      </c>
      <c r="J423" s="70">
        <f>SUM($H$18:$H423)</f>
        <v>8041.5444282238004</v>
      </c>
    </row>
    <row r="424" spans="1:10" x14ac:dyDescent="0.3">
      <c r="A424" s="36">
        <f>IF(Values_Entered,A423+1,"")</f>
        <v>407</v>
      </c>
      <c r="B424" s="35">
        <f>IF(Pay_Num&lt;&gt;"",DATE(YEAR(Loan_Start),MONTH(Loan_Start)+(Pay_Num)*12/Num_Pmt_Per_Year,DAY(Loan_Start)),"")</f>
        <v>57770</v>
      </c>
      <c r="C424" s="70">
        <f>IF(Pay_Num&lt;&gt;"",I423,"")</f>
        <v>0</v>
      </c>
      <c r="D424" s="70">
        <f>IF(Pay_Num&lt;&gt;"",Scheduled_Monthly_Payment,"")</f>
        <v>2418.3976845093252</v>
      </c>
      <c r="E424" s="71">
        <f>IF(AND(Pay_Num&lt;&gt;"",Sched_Pay+Scheduled_Extra_Payments&lt;Beg_Bal),Scheduled_Extra_Payments,IF(AND(Pay_Num&lt;&gt;"",Beg_Bal-Sched_Pay&gt;0),Beg_Bal-Sched_Pay,IF(Pay_Num&lt;&gt;"",0,"")))</f>
        <v>0</v>
      </c>
      <c r="F424" s="70">
        <f>IF(AND(Pay_Num&lt;&gt;"",Sched_Pay+Extra_Pay&lt;Beg_Bal),Sched_Pay+Extra_Pay,IF(Pay_Num&lt;&gt;"",Beg_Bal,""))</f>
        <v>0</v>
      </c>
      <c r="G424" s="70">
        <f>IF(Pay_Num&lt;&gt;"",Total_Pay-Int,"")</f>
        <v>0</v>
      </c>
      <c r="H424" s="70">
        <f>IF(Pay_Num&lt;&gt;"",Beg_Bal*Interest_Rate/Num_Pmt_Per_Year,"")</f>
        <v>0</v>
      </c>
      <c r="I424" s="70">
        <f>IF(AND(Pay_Num&lt;&gt;"",Sched_Pay+Extra_Pay&lt;Beg_Bal),Beg_Bal-Princ,IF(Pay_Num&lt;&gt;"",0,""))</f>
        <v>0</v>
      </c>
      <c r="J424" s="70">
        <f>SUM($H$18:$H424)</f>
        <v>8041.5444282238004</v>
      </c>
    </row>
    <row r="425" spans="1:10" x14ac:dyDescent="0.3">
      <c r="A425" s="36">
        <f>IF(Values_Entered,A424+1,"")</f>
        <v>408</v>
      </c>
      <c r="B425" s="35">
        <f>IF(Pay_Num&lt;&gt;"",DATE(YEAR(Loan_Start),MONTH(Loan_Start)+(Pay_Num)*12/Num_Pmt_Per_Year,DAY(Loan_Start)),"")</f>
        <v>57801</v>
      </c>
      <c r="C425" s="70">
        <f>IF(Pay_Num&lt;&gt;"",I424,"")</f>
        <v>0</v>
      </c>
      <c r="D425" s="70">
        <f>IF(Pay_Num&lt;&gt;"",Scheduled_Monthly_Payment,"")</f>
        <v>2418.3976845093252</v>
      </c>
      <c r="E425" s="71">
        <f>IF(AND(Pay_Num&lt;&gt;"",Sched_Pay+Scheduled_Extra_Payments&lt;Beg_Bal),Scheduled_Extra_Payments,IF(AND(Pay_Num&lt;&gt;"",Beg_Bal-Sched_Pay&gt;0),Beg_Bal-Sched_Pay,IF(Pay_Num&lt;&gt;"",0,"")))</f>
        <v>0</v>
      </c>
      <c r="F425" s="70">
        <f>IF(AND(Pay_Num&lt;&gt;"",Sched_Pay+Extra_Pay&lt;Beg_Bal),Sched_Pay+Extra_Pay,IF(Pay_Num&lt;&gt;"",Beg_Bal,""))</f>
        <v>0</v>
      </c>
      <c r="G425" s="70">
        <f>IF(Pay_Num&lt;&gt;"",Total_Pay-Int,"")</f>
        <v>0</v>
      </c>
      <c r="H425" s="70">
        <f>IF(Pay_Num&lt;&gt;"",Beg_Bal*Interest_Rate/Num_Pmt_Per_Year,"")</f>
        <v>0</v>
      </c>
      <c r="I425" s="70">
        <f>IF(AND(Pay_Num&lt;&gt;"",Sched_Pay+Extra_Pay&lt;Beg_Bal),Beg_Bal-Princ,IF(Pay_Num&lt;&gt;"",0,""))</f>
        <v>0</v>
      </c>
      <c r="J425" s="70">
        <f>SUM($H$18:$H425)</f>
        <v>8041.5444282238004</v>
      </c>
    </row>
    <row r="426" spans="1:10" x14ac:dyDescent="0.3">
      <c r="A426" s="36">
        <f>IF(Values_Entered,A425+1,"")</f>
        <v>409</v>
      </c>
      <c r="B426" s="35">
        <f>IF(Pay_Num&lt;&gt;"",DATE(YEAR(Loan_Start),MONTH(Loan_Start)+(Pay_Num)*12/Num_Pmt_Per_Year,DAY(Loan_Start)),"")</f>
        <v>57831</v>
      </c>
      <c r="C426" s="70">
        <f>IF(Pay_Num&lt;&gt;"",I425,"")</f>
        <v>0</v>
      </c>
      <c r="D426" s="70">
        <f>IF(Pay_Num&lt;&gt;"",Scheduled_Monthly_Payment,"")</f>
        <v>2418.3976845093252</v>
      </c>
      <c r="E426" s="71">
        <f>IF(AND(Pay_Num&lt;&gt;"",Sched_Pay+Scheduled_Extra_Payments&lt;Beg_Bal),Scheduled_Extra_Payments,IF(AND(Pay_Num&lt;&gt;"",Beg_Bal-Sched_Pay&gt;0),Beg_Bal-Sched_Pay,IF(Pay_Num&lt;&gt;"",0,"")))</f>
        <v>0</v>
      </c>
      <c r="F426" s="70">
        <f>IF(AND(Pay_Num&lt;&gt;"",Sched_Pay+Extra_Pay&lt;Beg_Bal),Sched_Pay+Extra_Pay,IF(Pay_Num&lt;&gt;"",Beg_Bal,""))</f>
        <v>0</v>
      </c>
      <c r="G426" s="70">
        <f>IF(Pay_Num&lt;&gt;"",Total_Pay-Int,"")</f>
        <v>0</v>
      </c>
      <c r="H426" s="70">
        <f>IF(Pay_Num&lt;&gt;"",Beg_Bal*Interest_Rate/Num_Pmt_Per_Year,"")</f>
        <v>0</v>
      </c>
      <c r="I426" s="70">
        <f>IF(AND(Pay_Num&lt;&gt;"",Sched_Pay+Extra_Pay&lt;Beg_Bal),Beg_Bal-Princ,IF(Pay_Num&lt;&gt;"",0,""))</f>
        <v>0</v>
      </c>
      <c r="J426" s="70">
        <f>SUM($H$18:$H426)</f>
        <v>8041.5444282238004</v>
      </c>
    </row>
    <row r="427" spans="1:10" x14ac:dyDescent="0.3">
      <c r="A427" s="36">
        <f>IF(Values_Entered,A426+1,"")</f>
        <v>410</v>
      </c>
      <c r="B427" s="35">
        <f>IF(Pay_Num&lt;&gt;"",DATE(YEAR(Loan_Start),MONTH(Loan_Start)+(Pay_Num)*12/Num_Pmt_Per_Year,DAY(Loan_Start)),"")</f>
        <v>57862</v>
      </c>
      <c r="C427" s="70">
        <f>IF(Pay_Num&lt;&gt;"",I426,"")</f>
        <v>0</v>
      </c>
      <c r="D427" s="70">
        <f>IF(Pay_Num&lt;&gt;"",Scheduled_Monthly_Payment,"")</f>
        <v>2418.3976845093252</v>
      </c>
      <c r="E427" s="71">
        <f>IF(AND(Pay_Num&lt;&gt;"",Sched_Pay+Scheduled_Extra_Payments&lt;Beg_Bal),Scheduled_Extra_Payments,IF(AND(Pay_Num&lt;&gt;"",Beg_Bal-Sched_Pay&gt;0),Beg_Bal-Sched_Pay,IF(Pay_Num&lt;&gt;"",0,"")))</f>
        <v>0</v>
      </c>
      <c r="F427" s="70">
        <f>IF(AND(Pay_Num&lt;&gt;"",Sched_Pay+Extra_Pay&lt;Beg_Bal),Sched_Pay+Extra_Pay,IF(Pay_Num&lt;&gt;"",Beg_Bal,""))</f>
        <v>0</v>
      </c>
      <c r="G427" s="70">
        <f>IF(Pay_Num&lt;&gt;"",Total_Pay-Int,"")</f>
        <v>0</v>
      </c>
      <c r="H427" s="70">
        <f>IF(Pay_Num&lt;&gt;"",Beg_Bal*Interest_Rate/Num_Pmt_Per_Year,"")</f>
        <v>0</v>
      </c>
      <c r="I427" s="70">
        <f>IF(AND(Pay_Num&lt;&gt;"",Sched_Pay+Extra_Pay&lt;Beg_Bal),Beg_Bal-Princ,IF(Pay_Num&lt;&gt;"",0,""))</f>
        <v>0</v>
      </c>
      <c r="J427" s="70">
        <f>SUM($H$18:$H427)</f>
        <v>8041.5444282238004</v>
      </c>
    </row>
    <row r="428" spans="1:10" x14ac:dyDescent="0.3">
      <c r="A428" s="36">
        <f>IF(Values_Entered,A427+1,"")</f>
        <v>411</v>
      </c>
      <c r="B428" s="35">
        <f>IF(Pay_Num&lt;&gt;"",DATE(YEAR(Loan_Start),MONTH(Loan_Start)+(Pay_Num)*12/Num_Pmt_Per_Year,DAY(Loan_Start)),"")</f>
        <v>57892</v>
      </c>
      <c r="C428" s="70">
        <f>IF(Pay_Num&lt;&gt;"",I427,"")</f>
        <v>0</v>
      </c>
      <c r="D428" s="70">
        <f>IF(Pay_Num&lt;&gt;"",Scheduled_Monthly_Payment,"")</f>
        <v>2418.3976845093252</v>
      </c>
      <c r="E428" s="71">
        <f>IF(AND(Pay_Num&lt;&gt;"",Sched_Pay+Scheduled_Extra_Payments&lt;Beg_Bal),Scheduled_Extra_Payments,IF(AND(Pay_Num&lt;&gt;"",Beg_Bal-Sched_Pay&gt;0),Beg_Bal-Sched_Pay,IF(Pay_Num&lt;&gt;"",0,"")))</f>
        <v>0</v>
      </c>
      <c r="F428" s="70">
        <f>IF(AND(Pay_Num&lt;&gt;"",Sched_Pay+Extra_Pay&lt;Beg_Bal),Sched_Pay+Extra_Pay,IF(Pay_Num&lt;&gt;"",Beg_Bal,""))</f>
        <v>0</v>
      </c>
      <c r="G428" s="70">
        <f>IF(Pay_Num&lt;&gt;"",Total_Pay-Int,"")</f>
        <v>0</v>
      </c>
      <c r="H428" s="70">
        <f>IF(Pay_Num&lt;&gt;"",Beg_Bal*Interest_Rate/Num_Pmt_Per_Year,"")</f>
        <v>0</v>
      </c>
      <c r="I428" s="70">
        <f>IF(AND(Pay_Num&lt;&gt;"",Sched_Pay+Extra_Pay&lt;Beg_Bal),Beg_Bal-Princ,IF(Pay_Num&lt;&gt;"",0,""))</f>
        <v>0</v>
      </c>
      <c r="J428" s="70">
        <f>SUM($H$18:$H428)</f>
        <v>8041.5444282238004</v>
      </c>
    </row>
    <row r="429" spans="1:10" x14ac:dyDescent="0.3">
      <c r="A429" s="36">
        <f>IF(Values_Entered,A428+1,"")</f>
        <v>412</v>
      </c>
      <c r="B429" s="35">
        <f>IF(Pay_Num&lt;&gt;"",DATE(YEAR(Loan_Start),MONTH(Loan_Start)+(Pay_Num)*12/Num_Pmt_Per_Year,DAY(Loan_Start)),"")</f>
        <v>57923</v>
      </c>
      <c r="C429" s="70">
        <f>IF(Pay_Num&lt;&gt;"",I428,"")</f>
        <v>0</v>
      </c>
      <c r="D429" s="70">
        <f>IF(Pay_Num&lt;&gt;"",Scheduled_Monthly_Payment,"")</f>
        <v>2418.3976845093252</v>
      </c>
      <c r="E429" s="71">
        <f>IF(AND(Pay_Num&lt;&gt;"",Sched_Pay+Scheduled_Extra_Payments&lt;Beg_Bal),Scheduled_Extra_Payments,IF(AND(Pay_Num&lt;&gt;"",Beg_Bal-Sched_Pay&gt;0),Beg_Bal-Sched_Pay,IF(Pay_Num&lt;&gt;"",0,"")))</f>
        <v>0</v>
      </c>
      <c r="F429" s="70">
        <f>IF(AND(Pay_Num&lt;&gt;"",Sched_Pay+Extra_Pay&lt;Beg_Bal),Sched_Pay+Extra_Pay,IF(Pay_Num&lt;&gt;"",Beg_Bal,""))</f>
        <v>0</v>
      </c>
      <c r="G429" s="70">
        <f>IF(Pay_Num&lt;&gt;"",Total_Pay-Int,"")</f>
        <v>0</v>
      </c>
      <c r="H429" s="70">
        <f>IF(Pay_Num&lt;&gt;"",Beg_Bal*Interest_Rate/Num_Pmt_Per_Year,"")</f>
        <v>0</v>
      </c>
      <c r="I429" s="70">
        <f>IF(AND(Pay_Num&lt;&gt;"",Sched_Pay+Extra_Pay&lt;Beg_Bal),Beg_Bal-Princ,IF(Pay_Num&lt;&gt;"",0,""))</f>
        <v>0</v>
      </c>
      <c r="J429" s="70">
        <f>SUM($H$18:$H429)</f>
        <v>8041.5444282238004</v>
      </c>
    </row>
    <row r="430" spans="1:10" x14ac:dyDescent="0.3">
      <c r="A430" s="36">
        <f>IF(Values_Entered,A429+1,"")</f>
        <v>413</v>
      </c>
      <c r="B430" s="35">
        <f>IF(Pay_Num&lt;&gt;"",DATE(YEAR(Loan_Start),MONTH(Loan_Start)+(Pay_Num)*12/Num_Pmt_Per_Year,DAY(Loan_Start)),"")</f>
        <v>57954</v>
      </c>
      <c r="C430" s="70">
        <f>IF(Pay_Num&lt;&gt;"",I429,"")</f>
        <v>0</v>
      </c>
      <c r="D430" s="70">
        <f>IF(Pay_Num&lt;&gt;"",Scheduled_Monthly_Payment,"")</f>
        <v>2418.3976845093252</v>
      </c>
      <c r="E430" s="71">
        <f>IF(AND(Pay_Num&lt;&gt;"",Sched_Pay+Scheduled_Extra_Payments&lt;Beg_Bal),Scheduled_Extra_Payments,IF(AND(Pay_Num&lt;&gt;"",Beg_Bal-Sched_Pay&gt;0),Beg_Bal-Sched_Pay,IF(Pay_Num&lt;&gt;"",0,"")))</f>
        <v>0</v>
      </c>
      <c r="F430" s="70">
        <f>IF(AND(Pay_Num&lt;&gt;"",Sched_Pay+Extra_Pay&lt;Beg_Bal),Sched_Pay+Extra_Pay,IF(Pay_Num&lt;&gt;"",Beg_Bal,""))</f>
        <v>0</v>
      </c>
      <c r="G430" s="70">
        <f>IF(Pay_Num&lt;&gt;"",Total_Pay-Int,"")</f>
        <v>0</v>
      </c>
      <c r="H430" s="70">
        <f>IF(Pay_Num&lt;&gt;"",Beg_Bal*Interest_Rate/Num_Pmt_Per_Year,"")</f>
        <v>0</v>
      </c>
      <c r="I430" s="70">
        <f>IF(AND(Pay_Num&lt;&gt;"",Sched_Pay+Extra_Pay&lt;Beg_Bal),Beg_Bal-Princ,IF(Pay_Num&lt;&gt;"",0,""))</f>
        <v>0</v>
      </c>
      <c r="J430" s="70">
        <f>SUM($H$18:$H430)</f>
        <v>8041.5444282238004</v>
      </c>
    </row>
    <row r="431" spans="1:10" x14ac:dyDescent="0.3">
      <c r="A431" s="36">
        <f>IF(Values_Entered,A430+1,"")</f>
        <v>414</v>
      </c>
      <c r="B431" s="35">
        <f>IF(Pay_Num&lt;&gt;"",DATE(YEAR(Loan_Start),MONTH(Loan_Start)+(Pay_Num)*12/Num_Pmt_Per_Year,DAY(Loan_Start)),"")</f>
        <v>57984</v>
      </c>
      <c r="C431" s="70">
        <f>IF(Pay_Num&lt;&gt;"",I430,"")</f>
        <v>0</v>
      </c>
      <c r="D431" s="70">
        <f>IF(Pay_Num&lt;&gt;"",Scheduled_Monthly_Payment,"")</f>
        <v>2418.3976845093252</v>
      </c>
      <c r="E431" s="71">
        <f>IF(AND(Pay_Num&lt;&gt;"",Sched_Pay+Scheduled_Extra_Payments&lt;Beg_Bal),Scheduled_Extra_Payments,IF(AND(Pay_Num&lt;&gt;"",Beg_Bal-Sched_Pay&gt;0),Beg_Bal-Sched_Pay,IF(Pay_Num&lt;&gt;"",0,"")))</f>
        <v>0</v>
      </c>
      <c r="F431" s="70">
        <f>IF(AND(Pay_Num&lt;&gt;"",Sched_Pay+Extra_Pay&lt;Beg_Bal),Sched_Pay+Extra_Pay,IF(Pay_Num&lt;&gt;"",Beg_Bal,""))</f>
        <v>0</v>
      </c>
      <c r="G431" s="70">
        <f>IF(Pay_Num&lt;&gt;"",Total_Pay-Int,"")</f>
        <v>0</v>
      </c>
      <c r="H431" s="70">
        <f>IF(Pay_Num&lt;&gt;"",Beg_Bal*Interest_Rate/Num_Pmt_Per_Year,"")</f>
        <v>0</v>
      </c>
      <c r="I431" s="70">
        <f>IF(AND(Pay_Num&lt;&gt;"",Sched_Pay+Extra_Pay&lt;Beg_Bal),Beg_Bal-Princ,IF(Pay_Num&lt;&gt;"",0,""))</f>
        <v>0</v>
      </c>
      <c r="J431" s="70">
        <f>SUM($H$18:$H431)</f>
        <v>8041.5444282238004</v>
      </c>
    </row>
    <row r="432" spans="1:10" x14ac:dyDescent="0.3">
      <c r="A432" s="36">
        <f>IF(Values_Entered,A431+1,"")</f>
        <v>415</v>
      </c>
      <c r="B432" s="35">
        <f>IF(Pay_Num&lt;&gt;"",DATE(YEAR(Loan_Start),MONTH(Loan_Start)+(Pay_Num)*12/Num_Pmt_Per_Year,DAY(Loan_Start)),"")</f>
        <v>58015</v>
      </c>
      <c r="C432" s="70">
        <f>IF(Pay_Num&lt;&gt;"",I431,"")</f>
        <v>0</v>
      </c>
      <c r="D432" s="70">
        <f>IF(Pay_Num&lt;&gt;"",Scheduled_Monthly_Payment,"")</f>
        <v>2418.3976845093252</v>
      </c>
      <c r="E432" s="71">
        <f>IF(AND(Pay_Num&lt;&gt;"",Sched_Pay+Scheduled_Extra_Payments&lt;Beg_Bal),Scheduled_Extra_Payments,IF(AND(Pay_Num&lt;&gt;"",Beg_Bal-Sched_Pay&gt;0),Beg_Bal-Sched_Pay,IF(Pay_Num&lt;&gt;"",0,"")))</f>
        <v>0</v>
      </c>
      <c r="F432" s="70">
        <f>IF(AND(Pay_Num&lt;&gt;"",Sched_Pay+Extra_Pay&lt;Beg_Bal),Sched_Pay+Extra_Pay,IF(Pay_Num&lt;&gt;"",Beg_Bal,""))</f>
        <v>0</v>
      </c>
      <c r="G432" s="70">
        <f>IF(Pay_Num&lt;&gt;"",Total_Pay-Int,"")</f>
        <v>0</v>
      </c>
      <c r="H432" s="70">
        <f>IF(Pay_Num&lt;&gt;"",Beg_Bal*Interest_Rate/Num_Pmt_Per_Year,"")</f>
        <v>0</v>
      </c>
      <c r="I432" s="70">
        <f>IF(AND(Pay_Num&lt;&gt;"",Sched_Pay+Extra_Pay&lt;Beg_Bal),Beg_Bal-Princ,IF(Pay_Num&lt;&gt;"",0,""))</f>
        <v>0</v>
      </c>
      <c r="J432" s="70">
        <f>SUM($H$18:$H432)</f>
        <v>8041.5444282238004</v>
      </c>
    </row>
    <row r="433" spans="1:10" x14ac:dyDescent="0.3">
      <c r="A433" s="36">
        <f>IF(Values_Entered,A432+1,"")</f>
        <v>416</v>
      </c>
      <c r="B433" s="35">
        <f>IF(Pay_Num&lt;&gt;"",DATE(YEAR(Loan_Start),MONTH(Loan_Start)+(Pay_Num)*12/Num_Pmt_Per_Year,DAY(Loan_Start)),"")</f>
        <v>58045</v>
      </c>
      <c r="C433" s="70">
        <f>IF(Pay_Num&lt;&gt;"",I432,"")</f>
        <v>0</v>
      </c>
      <c r="D433" s="70">
        <f>IF(Pay_Num&lt;&gt;"",Scheduled_Monthly_Payment,"")</f>
        <v>2418.3976845093252</v>
      </c>
      <c r="E433" s="71">
        <f>IF(AND(Pay_Num&lt;&gt;"",Sched_Pay+Scheduled_Extra_Payments&lt;Beg_Bal),Scheduled_Extra_Payments,IF(AND(Pay_Num&lt;&gt;"",Beg_Bal-Sched_Pay&gt;0),Beg_Bal-Sched_Pay,IF(Pay_Num&lt;&gt;"",0,"")))</f>
        <v>0</v>
      </c>
      <c r="F433" s="70">
        <f>IF(AND(Pay_Num&lt;&gt;"",Sched_Pay+Extra_Pay&lt;Beg_Bal),Sched_Pay+Extra_Pay,IF(Pay_Num&lt;&gt;"",Beg_Bal,""))</f>
        <v>0</v>
      </c>
      <c r="G433" s="70">
        <f>IF(Pay_Num&lt;&gt;"",Total_Pay-Int,"")</f>
        <v>0</v>
      </c>
      <c r="H433" s="70">
        <f>IF(Pay_Num&lt;&gt;"",Beg_Bal*Interest_Rate/Num_Pmt_Per_Year,"")</f>
        <v>0</v>
      </c>
      <c r="I433" s="70">
        <f>IF(AND(Pay_Num&lt;&gt;"",Sched_Pay+Extra_Pay&lt;Beg_Bal),Beg_Bal-Princ,IF(Pay_Num&lt;&gt;"",0,""))</f>
        <v>0</v>
      </c>
      <c r="J433" s="70">
        <f>SUM($H$18:$H433)</f>
        <v>8041.5444282238004</v>
      </c>
    </row>
    <row r="434" spans="1:10" x14ac:dyDescent="0.3">
      <c r="A434" s="36">
        <f>IF(Values_Entered,A433+1,"")</f>
        <v>417</v>
      </c>
      <c r="B434" s="35">
        <f>IF(Pay_Num&lt;&gt;"",DATE(YEAR(Loan_Start),MONTH(Loan_Start)+(Pay_Num)*12/Num_Pmt_Per_Year,DAY(Loan_Start)),"")</f>
        <v>58076</v>
      </c>
      <c r="C434" s="70">
        <f>IF(Pay_Num&lt;&gt;"",I433,"")</f>
        <v>0</v>
      </c>
      <c r="D434" s="70">
        <f>IF(Pay_Num&lt;&gt;"",Scheduled_Monthly_Payment,"")</f>
        <v>2418.3976845093252</v>
      </c>
      <c r="E434" s="71">
        <f>IF(AND(Pay_Num&lt;&gt;"",Sched_Pay+Scheduled_Extra_Payments&lt;Beg_Bal),Scheduled_Extra_Payments,IF(AND(Pay_Num&lt;&gt;"",Beg_Bal-Sched_Pay&gt;0),Beg_Bal-Sched_Pay,IF(Pay_Num&lt;&gt;"",0,"")))</f>
        <v>0</v>
      </c>
      <c r="F434" s="70">
        <f>IF(AND(Pay_Num&lt;&gt;"",Sched_Pay+Extra_Pay&lt;Beg_Bal),Sched_Pay+Extra_Pay,IF(Pay_Num&lt;&gt;"",Beg_Bal,""))</f>
        <v>0</v>
      </c>
      <c r="G434" s="70">
        <f>IF(Pay_Num&lt;&gt;"",Total_Pay-Int,"")</f>
        <v>0</v>
      </c>
      <c r="H434" s="70">
        <f>IF(Pay_Num&lt;&gt;"",Beg_Bal*Interest_Rate/Num_Pmt_Per_Year,"")</f>
        <v>0</v>
      </c>
      <c r="I434" s="70">
        <f>IF(AND(Pay_Num&lt;&gt;"",Sched_Pay+Extra_Pay&lt;Beg_Bal),Beg_Bal-Princ,IF(Pay_Num&lt;&gt;"",0,""))</f>
        <v>0</v>
      </c>
      <c r="J434" s="70">
        <f>SUM($H$18:$H434)</f>
        <v>8041.5444282238004</v>
      </c>
    </row>
    <row r="435" spans="1:10" x14ac:dyDescent="0.3">
      <c r="A435" s="36">
        <f>IF(Values_Entered,A434+1,"")</f>
        <v>418</v>
      </c>
      <c r="B435" s="35">
        <f>IF(Pay_Num&lt;&gt;"",DATE(YEAR(Loan_Start),MONTH(Loan_Start)+(Pay_Num)*12/Num_Pmt_Per_Year,DAY(Loan_Start)),"")</f>
        <v>58107</v>
      </c>
      <c r="C435" s="70">
        <f>IF(Pay_Num&lt;&gt;"",I434,"")</f>
        <v>0</v>
      </c>
      <c r="D435" s="70">
        <f>IF(Pay_Num&lt;&gt;"",Scheduled_Monthly_Payment,"")</f>
        <v>2418.3976845093252</v>
      </c>
      <c r="E435" s="71">
        <f>IF(AND(Pay_Num&lt;&gt;"",Sched_Pay+Scheduled_Extra_Payments&lt;Beg_Bal),Scheduled_Extra_Payments,IF(AND(Pay_Num&lt;&gt;"",Beg_Bal-Sched_Pay&gt;0),Beg_Bal-Sched_Pay,IF(Pay_Num&lt;&gt;"",0,"")))</f>
        <v>0</v>
      </c>
      <c r="F435" s="70">
        <f>IF(AND(Pay_Num&lt;&gt;"",Sched_Pay+Extra_Pay&lt;Beg_Bal),Sched_Pay+Extra_Pay,IF(Pay_Num&lt;&gt;"",Beg_Bal,""))</f>
        <v>0</v>
      </c>
      <c r="G435" s="70">
        <f>IF(Pay_Num&lt;&gt;"",Total_Pay-Int,"")</f>
        <v>0</v>
      </c>
      <c r="H435" s="70">
        <f>IF(Pay_Num&lt;&gt;"",Beg_Bal*Interest_Rate/Num_Pmt_Per_Year,"")</f>
        <v>0</v>
      </c>
      <c r="I435" s="70">
        <f>IF(AND(Pay_Num&lt;&gt;"",Sched_Pay+Extra_Pay&lt;Beg_Bal),Beg_Bal-Princ,IF(Pay_Num&lt;&gt;"",0,""))</f>
        <v>0</v>
      </c>
      <c r="J435" s="70">
        <f>SUM($H$18:$H435)</f>
        <v>8041.5444282238004</v>
      </c>
    </row>
    <row r="436" spans="1:10" x14ac:dyDescent="0.3">
      <c r="A436" s="36">
        <f>IF(Values_Entered,A435+1,"")</f>
        <v>419</v>
      </c>
      <c r="B436" s="35">
        <f>IF(Pay_Num&lt;&gt;"",DATE(YEAR(Loan_Start),MONTH(Loan_Start)+(Pay_Num)*12/Num_Pmt_Per_Year,DAY(Loan_Start)),"")</f>
        <v>58135</v>
      </c>
      <c r="C436" s="70">
        <f>IF(Pay_Num&lt;&gt;"",I435,"")</f>
        <v>0</v>
      </c>
      <c r="D436" s="70">
        <f>IF(Pay_Num&lt;&gt;"",Scheduled_Monthly_Payment,"")</f>
        <v>2418.3976845093252</v>
      </c>
      <c r="E436" s="71">
        <f>IF(AND(Pay_Num&lt;&gt;"",Sched_Pay+Scheduled_Extra_Payments&lt;Beg_Bal),Scheduled_Extra_Payments,IF(AND(Pay_Num&lt;&gt;"",Beg_Bal-Sched_Pay&gt;0),Beg_Bal-Sched_Pay,IF(Pay_Num&lt;&gt;"",0,"")))</f>
        <v>0</v>
      </c>
      <c r="F436" s="70">
        <f>IF(AND(Pay_Num&lt;&gt;"",Sched_Pay+Extra_Pay&lt;Beg_Bal),Sched_Pay+Extra_Pay,IF(Pay_Num&lt;&gt;"",Beg_Bal,""))</f>
        <v>0</v>
      </c>
      <c r="G436" s="70">
        <f>IF(Pay_Num&lt;&gt;"",Total_Pay-Int,"")</f>
        <v>0</v>
      </c>
      <c r="H436" s="70">
        <f>IF(Pay_Num&lt;&gt;"",Beg_Bal*Interest_Rate/Num_Pmt_Per_Year,"")</f>
        <v>0</v>
      </c>
      <c r="I436" s="70">
        <f>IF(AND(Pay_Num&lt;&gt;"",Sched_Pay+Extra_Pay&lt;Beg_Bal),Beg_Bal-Princ,IF(Pay_Num&lt;&gt;"",0,""))</f>
        <v>0</v>
      </c>
      <c r="J436" s="70">
        <f>SUM($H$18:$H436)</f>
        <v>8041.5444282238004</v>
      </c>
    </row>
    <row r="437" spans="1:10" x14ac:dyDescent="0.3">
      <c r="A437" s="36">
        <f>IF(Values_Entered,A436+1,"")</f>
        <v>420</v>
      </c>
      <c r="B437" s="35">
        <f>IF(Pay_Num&lt;&gt;"",DATE(YEAR(Loan_Start),MONTH(Loan_Start)+(Pay_Num)*12/Num_Pmt_Per_Year,DAY(Loan_Start)),"")</f>
        <v>58166</v>
      </c>
      <c r="C437" s="70">
        <f>IF(Pay_Num&lt;&gt;"",I436,"")</f>
        <v>0</v>
      </c>
      <c r="D437" s="70">
        <f>IF(Pay_Num&lt;&gt;"",Scheduled_Monthly_Payment,"")</f>
        <v>2418.3976845093252</v>
      </c>
      <c r="E437" s="71">
        <f>IF(AND(Pay_Num&lt;&gt;"",Sched_Pay+Scheduled_Extra_Payments&lt;Beg_Bal),Scheduled_Extra_Payments,IF(AND(Pay_Num&lt;&gt;"",Beg_Bal-Sched_Pay&gt;0),Beg_Bal-Sched_Pay,IF(Pay_Num&lt;&gt;"",0,"")))</f>
        <v>0</v>
      </c>
      <c r="F437" s="70">
        <f>IF(AND(Pay_Num&lt;&gt;"",Sched_Pay+Extra_Pay&lt;Beg_Bal),Sched_Pay+Extra_Pay,IF(Pay_Num&lt;&gt;"",Beg_Bal,""))</f>
        <v>0</v>
      </c>
      <c r="G437" s="70">
        <f>IF(Pay_Num&lt;&gt;"",Total_Pay-Int,"")</f>
        <v>0</v>
      </c>
      <c r="H437" s="70">
        <f>IF(Pay_Num&lt;&gt;"",Beg_Bal*Interest_Rate/Num_Pmt_Per_Year,"")</f>
        <v>0</v>
      </c>
      <c r="I437" s="70">
        <f>IF(AND(Pay_Num&lt;&gt;"",Sched_Pay+Extra_Pay&lt;Beg_Bal),Beg_Bal-Princ,IF(Pay_Num&lt;&gt;"",0,""))</f>
        <v>0</v>
      </c>
      <c r="J437" s="70">
        <f>SUM($H$18:$H437)</f>
        <v>8041.5444282238004</v>
      </c>
    </row>
    <row r="438" spans="1:10" x14ac:dyDescent="0.3">
      <c r="A438" s="36">
        <f>IF(Values_Entered,A437+1,"")</f>
        <v>421</v>
      </c>
      <c r="B438" s="35">
        <f>IF(Pay_Num&lt;&gt;"",DATE(YEAR(Loan_Start),MONTH(Loan_Start)+(Pay_Num)*12/Num_Pmt_Per_Year,DAY(Loan_Start)),"")</f>
        <v>58196</v>
      </c>
      <c r="C438" s="70">
        <f>IF(Pay_Num&lt;&gt;"",I437,"")</f>
        <v>0</v>
      </c>
      <c r="D438" s="70">
        <f>IF(Pay_Num&lt;&gt;"",Scheduled_Monthly_Payment,"")</f>
        <v>2418.3976845093252</v>
      </c>
      <c r="E438" s="71">
        <f>IF(AND(Pay_Num&lt;&gt;"",Sched_Pay+Scheduled_Extra_Payments&lt;Beg_Bal),Scheduled_Extra_Payments,IF(AND(Pay_Num&lt;&gt;"",Beg_Bal-Sched_Pay&gt;0),Beg_Bal-Sched_Pay,IF(Pay_Num&lt;&gt;"",0,"")))</f>
        <v>0</v>
      </c>
      <c r="F438" s="70">
        <f>IF(AND(Pay_Num&lt;&gt;"",Sched_Pay+Extra_Pay&lt;Beg_Bal),Sched_Pay+Extra_Pay,IF(Pay_Num&lt;&gt;"",Beg_Bal,""))</f>
        <v>0</v>
      </c>
      <c r="G438" s="70">
        <f>IF(Pay_Num&lt;&gt;"",Total_Pay-Int,"")</f>
        <v>0</v>
      </c>
      <c r="H438" s="70">
        <f>IF(Pay_Num&lt;&gt;"",Beg_Bal*Interest_Rate/Num_Pmt_Per_Year,"")</f>
        <v>0</v>
      </c>
      <c r="I438" s="70">
        <f>IF(AND(Pay_Num&lt;&gt;"",Sched_Pay+Extra_Pay&lt;Beg_Bal),Beg_Bal-Princ,IF(Pay_Num&lt;&gt;"",0,""))</f>
        <v>0</v>
      </c>
      <c r="J438" s="70">
        <f>SUM($H$18:$H438)</f>
        <v>8041.5444282238004</v>
      </c>
    </row>
    <row r="439" spans="1:10" x14ac:dyDescent="0.3">
      <c r="A439" s="36">
        <f>IF(Values_Entered,A438+1,"")</f>
        <v>422</v>
      </c>
      <c r="B439" s="35">
        <f>IF(Pay_Num&lt;&gt;"",DATE(YEAR(Loan_Start),MONTH(Loan_Start)+(Pay_Num)*12/Num_Pmt_Per_Year,DAY(Loan_Start)),"")</f>
        <v>58227</v>
      </c>
      <c r="C439" s="70">
        <f>IF(Pay_Num&lt;&gt;"",I438,"")</f>
        <v>0</v>
      </c>
      <c r="D439" s="70">
        <f>IF(Pay_Num&lt;&gt;"",Scheduled_Monthly_Payment,"")</f>
        <v>2418.3976845093252</v>
      </c>
      <c r="E439" s="71">
        <f>IF(AND(Pay_Num&lt;&gt;"",Sched_Pay+Scheduled_Extra_Payments&lt;Beg_Bal),Scheduled_Extra_Payments,IF(AND(Pay_Num&lt;&gt;"",Beg_Bal-Sched_Pay&gt;0),Beg_Bal-Sched_Pay,IF(Pay_Num&lt;&gt;"",0,"")))</f>
        <v>0</v>
      </c>
      <c r="F439" s="70">
        <f>IF(AND(Pay_Num&lt;&gt;"",Sched_Pay+Extra_Pay&lt;Beg_Bal),Sched_Pay+Extra_Pay,IF(Pay_Num&lt;&gt;"",Beg_Bal,""))</f>
        <v>0</v>
      </c>
      <c r="G439" s="70">
        <f>IF(Pay_Num&lt;&gt;"",Total_Pay-Int,"")</f>
        <v>0</v>
      </c>
      <c r="H439" s="70">
        <f>IF(Pay_Num&lt;&gt;"",Beg_Bal*Interest_Rate/Num_Pmt_Per_Year,"")</f>
        <v>0</v>
      </c>
      <c r="I439" s="70">
        <f>IF(AND(Pay_Num&lt;&gt;"",Sched_Pay+Extra_Pay&lt;Beg_Bal),Beg_Bal-Princ,IF(Pay_Num&lt;&gt;"",0,""))</f>
        <v>0</v>
      </c>
      <c r="J439" s="70">
        <f>SUM($H$18:$H439)</f>
        <v>8041.5444282238004</v>
      </c>
    </row>
    <row r="440" spans="1:10" x14ac:dyDescent="0.3">
      <c r="A440" s="36">
        <f>IF(Values_Entered,A439+1,"")</f>
        <v>423</v>
      </c>
      <c r="B440" s="35">
        <f>IF(Pay_Num&lt;&gt;"",DATE(YEAR(Loan_Start),MONTH(Loan_Start)+(Pay_Num)*12/Num_Pmt_Per_Year,DAY(Loan_Start)),"")</f>
        <v>58257</v>
      </c>
      <c r="C440" s="70">
        <f>IF(Pay_Num&lt;&gt;"",I439,"")</f>
        <v>0</v>
      </c>
      <c r="D440" s="70">
        <f>IF(Pay_Num&lt;&gt;"",Scheduled_Monthly_Payment,"")</f>
        <v>2418.3976845093252</v>
      </c>
      <c r="E440" s="71">
        <f>IF(AND(Pay_Num&lt;&gt;"",Sched_Pay+Scheduled_Extra_Payments&lt;Beg_Bal),Scheduled_Extra_Payments,IF(AND(Pay_Num&lt;&gt;"",Beg_Bal-Sched_Pay&gt;0),Beg_Bal-Sched_Pay,IF(Pay_Num&lt;&gt;"",0,"")))</f>
        <v>0</v>
      </c>
      <c r="F440" s="70">
        <f>IF(AND(Pay_Num&lt;&gt;"",Sched_Pay+Extra_Pay&lt;Beg_Bal),Sched_Pay+Extra_Pay,IF(Pay_Num&lt;&gt;"",Beg_Bal,""))</f>
        <v>0</v>
      </c>
      <c r="G440" s="70">
        <f>IF(Pay_Num&lt;&gt;"",Total_Pay-Int,"")</f>
        <v>0</v>
      </c>
      <c r="H440" s="70">
        <f>IF(Pay_Num&lt;&gt;"",Beg_Bal*Interest_Rate/Num_Pmt_Per_Year,"")</f>
        <v>0</v>
      </c>
      <c r="I440" s="70">
        <f>IF(AND(Pay_Num&lt;&gt;"",Sched_Pay+Extra_Pay&lt;Beg_Bal),Beg_Bal-Princ,IF(Pay_Num&lt;&gt;"",0,""))</f>
        <v>0</v>
      </c>
      <c r="J440" s="70">
        <f>SUM($H$18:$H440)</f>
        <v>8041.5444282238004</v>
      </c>
    </row>
    <row r="441" spans="1:10" x14ac:dyDescent="0.3">
      <c r="A441" s="36">
        <f>IF(Values_Entered,A440+1,"")</f>
        <v>424</v>
      </c>
      <c r="B441" s="35">
        <f>IF(Pay_Num&lt;&gt;"",DATE(YEAR(Loan_Start),MONTH(Loan_Start)+(Pay_Num)*12/Num_Pmt_Per_Year,DAY(Loan_Start)),"")</f>
        <v>58288</v>
      </c>
      <c r="C441" s="70">
        <f>IF(Pay_Num&lt;&gt;"",I440,"")</f>
        <v>0</v>
      </c>
      <c r="D441" s="70">
        <f>IF(Pay_Num&lt;&gt;"",Scheduled_Monthly_Payment,"")</f>
        <v>2418.3976845093252</v>
      </c>
      <c r="E441" s="71">
        <f>IF(AND(Pay_Num&lt;&gt;"",Sched_Pay+Scheduled_Extra_Payments&lt;Beg_Bal),Scheduled_Extra_Payments,IF(AND(Pay_Num&lt;&gt;"",Beg_Bal-Sched_Pay&gt;0),Beg_Bal-Sched_Pay,IF(Pay_Num&lt;&gt;"",0,"")))</f>
        <v>0</v>
      </c>
      <c r="F441" s="70">
        <f>IF(AND(Pay_Num&lt;&gt;"",Sched_Pay+Extra_Pay&lt;Beg_Bal),Sched_Pay+Extra_Pay,IF(Pay_Num&lt;&gt;"",Beg_Bal,""))</f>
        <v>0</v>
      </c>
      <c r="G441" s="70">
        <f>IF(Pay_Num&lt;&gt;"",Total_Pay-Int,"")</f>
        <v>0</v>
      </c>
      <c r="H441" s="70">
        <f>IF(Pay_Num&lt;&gt;"",Beg_Bal*Interest_Rate/Num_Pmt_Per_Year,"")</f>
        <v>0</v>
      </c>
      <c r="I441" s="70">
        <f>IF(AND(Pay_Num&lt;&gt;"",Sched_Pay+Extra_Pay&lt;Beg_Bal),Beg_Bal-Princ,IF(Pay_Num&lt;&gt;"",0,""))</f>
        <v>0</v>
      </c>
      <c r="J441" s="70">
        <f>SUM($H$18:$H441)</f>
        <v>8041.5444282238004</v>
      </c>
    </row>
    <row r="442" spans="1:10" x14ac:dyDescent="0.3">
      <c r="A442" s="36">
        <f>IF(Values_Entered,A441+1,"")</f>
        <v>425</v>
      </c>
      <c r="B442" s="35">
        <f>IF(Pay_Num&lt;&gt;"",DATE(YEAR(Loan_Start),MONTH(Loan_Start)+(Pay_Num)*12/Num_Pmt_Per_Year,DAY(Loan_Start)),"")</f>
        <v>58319</v>
      </c>
      <c r="C442" s="70">
        <f>IF(Pay_Num&lt;&gt;"",I441,"")</f>
        <v>0</v>
      </c>
      <c r="D442" s="70">
        <f>IF(Pay_Num&lt;&gt;"",Scheduled_Monthly_Payment,"")</f>
        <v>2418.3976845093252</v>
      </c>
      <c r="E442" s="71">
        <f>IF(AND(Pay_Num&lt;&gt;"",Sched_Pay+Scheduled_Extra_Payments&lt;Beg_Bal),Scheduled_Extra_Payments,IF(AND(Pay_Num&lt;&gt;"",Beg_Bal-Sched_Pay&gt;0),Beg_Bal-Sched_Pay,IF(Pay_Num&lt;&gt;"",0,"")))</f>
        <v>0</v>
      </c>
      <c r="F442" s="70">
        <f>IF(AND(Pay_Num&lt;&gt;"",Sched_Pay+Extra_Pay&lt;Beg_Bal),Sched_Pay+Extra_Pay,IF(Pay_Num&lt;&gt;"",Beg_Bal,""))</f>
        <v>0</v>
      </c>
      <c r="G442" s="70">
        <f>IF(Pay_Num&lt;&gt;"",Total_Pay-Int,"")</f>
        <v>0</v>
      </c>
      <c r="H442" s="70">
        <f>IF(Pay_Num&lt;&gt;"",Beg_Bal*Interest_Rate/Num_Pmt_Per_Year,"")</f>
        <v>0</v>
      </c>
      <c r="I442" s="70">
        <f>IF(AND(Pay_Num&lt;&gt;"",Sched_Pay+Extra_Pay&lt;Beg_Bal),Beg_Bal-Princ,IF(Pay_Num&lt;&gt;"",0,""))</f>
        <v>0</v>
      </c>
      <c r="J442" s="70">
        <f>SUM($H$18:$H442)</f>
        <v>8041.5444282238004</v>
      </c>
    </row>
    <row r="443" spans="1:10" x14ac:dyDescent="0.3">
      <c r="A443" s="36">
        <f>IF(Values_Entered,A442+1,"")</f>
        <v>426</v>
      </c>
      <c r="B443" s="35">
        <f>IF(Pay_Num&lt;&gt;"",DATE(YEAR(Loan_Start),MONTH(Loan_Start)+(Pay_Num)*12/Num_Pmt_Per_Year,DAY(Loan_Start)),"")</f>
        <v>58349</v>
      </c>
      <c r="C443" s="70">
        <f>IF(Pay_Num&lt;&gt;"",I442,"")</f>
        <v>0</v>
      </c>
      <c r="D443" s="70">
        <f>IF(Pay_Num&lt;&gt;"",Scheduled_Monthly_Payment,"")</f>
        <v>2418.3976845093252</v>
      </c>
      <c r="E443" s="71">
        <f>IF(AND(Pay_Num&lt;&gt;"",Sched_Pay+Scheduled_Extra_Payments&lt;Beg_Bal),Scheduled_Extra_Payments,IF(AND(Pay_Num&lt;&gt;"",Beg_Bal-Sched_Pay&gt;0),Beg_Bal-Sched_Pay,IF(Pay_Num&lt;&gt;"",0,"")))</f>
        <v>0</v>
      </c>
      <c r="F443" s="70">
        <f>IF(AND(Pay_Num&lt;&gt;"",Sched_Pay+Extra_Pay&lt;Beg_Bal),Sched_Pay+Extra_Pay,IF(Pay_Num&lt;&gt;"",Beg_Bal,""))</f>
        <v>0</v>
      </c>
      <c r="G443" s="70">
        <f>IF(Pay_Num&lt;&gt;"",Total_Pay-Int,"")</f>
        <v>0</v>
      </c>
      <c r="H443" s="70">
        <f>IF(Pay_Num&lt;&gt;"",Beg_Bal*Interest_Rate/Num_Pmt_Per_Year,"")</f>
        <v>0</v>
      </c>
      <c r="I443" s="70">
        <f>IF(AND(Pay_Num&lt;&gt;"",Sched_Pay+Extra_Pay&lt;Beg_Bal),Beg_Bal-Princ,IF(Pay_Num&lt;&gt;"",0,""))</f>
        <v>0</v>
      </c>
      <c r="J443" s="70">
        <f>SUM($H$18:$H443)</f>
        <v>8041.5444282238004</v>
      </c>
    </row>
    <row r="444" spans="1:10" x14ac:dyDescent="0.3">
      <c r="A444" s="36">
        <f>IF(Values_Entered,A443+1,"")</f>
        <v>427</v>
      </c>
      <c r="B444" s="35">
        <f>IF(Pay_Num&lt;&gt;"",DATE(YEAR(Loan_Start),MONTH(Loan_Start)+(Pay_Num)*12/Num_Pmt_Per_Year,DAY(Loan_Start)),"")</f>
        <v>58380</v>
      </c>
      <c r="C444" s="70">
        <f>IF(Pay_Num&lt;&gt;"",I443,"")</f>
        <v>0</v>
      </c>
      <c r="D444" s="70">
        <f>IF(Pay_Num&lt;&gt;"",Scheduled_Monthly_Payment,"")</f>
        <v>2418.3976845093252</v>
      </c>
      <c r="E444" s="71">
        <f>IF(AND(Pay_Num&lt;&gt;"",Sched_Pay+Scheduled_Extra_Payments&lt;Beg_Bal),Scheduled_Extra_Payments,IF(AND(Pay_Num&lt;&gt;"",Beg_Bal-Sched_Pay&gt;0),Beg_Bal-Sched_Pay,IF(Pay_Num&lt;&gt;"",0,"")))</f>
        <v>0</v>
      </c>
      <c r="F444" s="70">
        <f>IF(AND(Pay_Num&lt;&gt;"",Sched_Pay+Extra_Pay&lt;Beg_Bal),Sched_Pay+Extra_Pay,IF(Pay_Num&lt;&gt;"",Beg_Bal,""))</f>
        <v>0</v>
      </c>
      <c r="G444" s="70">
        <f>IF(Pay_Num&lt;&gt;"",Total_Pay-Int,"")</f>
        <v>0</v>
      </c>
      <c r="H444" s="70">
        <f>IF(Pay_Num&lt;&gt;"",Beg_Bal*Interest_Rate/Num_Pmt_Per_Year,"")</f>
        <v>0</v>
      </c>
      <c r="I444" s="70">
        <f>IF(AND(Pay_Num&lt;&gt;"",Sched_Pay+Extra_Pay&lt;Beg_Bal),Beg_Bal-Princ,IF(Pay_Num&lt;&gt;"",0,""))</f>
        <v>0</v>
      </c>
      <c r="J444" s="70">
        <f>SUM($H$18:$H444)</f>
        <v>8041.5444282238004</v>
      </c>
    </row>
    <row r="445" spans="1:10" x14ac:dyDescent="0.3">
      <c r="A445" s="36">
        <f>IF(Values_Entered,A444+1,"")</f>
        <v>428</v>
      </c>
      <c r="B445" s="35">
        <f>IF(Pay_Num&lt;&gt;"",DATE(YEAR(Loan_Start),MONTH(Loan_Start)+(Pay_Num)*12/Num_Pmt_Per_Year,DAY(Loan_Start)),"")</f>
        <v>58410</v>
      </c>
      <c r="C445" s="70">
        <f>IF(Pay_Num&lt;&gt;"",I444,"")</f>
        <v>0</v>
      </c>
      <c r="D445" s="70">
        <f>IF(Pay_Num&lt;&gt;"",Scheduled_Monthly_Payment,"")</f>
        <v>2418.3976845093252</v>
      </c>
      <c r="E445" s="71">
        <f>IF(AND(Pay_Num&lt;&gt;"",Sched_Pay+Scheduled_Extra_Payments&lt;Beg_Bal),Scheduled_Extra_Payments,IF(AND(Pay_Num&lt;&gt;"",Beg_Bal-Sched_Pay&gt;0),Beg_Bal-Sched_Pay,IF(Pay_Num&lt;&gt;"",0,"")))</f>
        <v>0</v>
      </c>
      <c r="F445" s="70">
        <f>IF(AND(Pay_Num&lt;&gt;"",Sched_Pay+Extra_Pay&lt;Beg_Bal),Sched_Pay+Extra_Pay,IF(Pay_Num&lt;&gt;"",Beg_Bal,""))</f>
        <v>0</v>
      </c>
      <c r="G445" s="70">
        <f>IF(Pay_Num&lt;&gt;"",Total_Pay-Int,"")</f>
        <v>0</v>
      </c>
      <c r="H445" s="70">
        <f>IF(Pay_Num&lt;&gt;"",Beg_Bal*Interest_Rate/Num_Pmt_Per_Year,"")</f>
        <v>0</v>
      </c>
      <c r="I445" s="70">
        <f>IF(AND(Pay_Num&lt;&gt;"",Sched_Pay+Extra_Pay&lt;Beg_Bal),Beg_Bal-Princ,IF(Pay_Num&lt;&gt;"",0,""))</f>
        <v>0</v>
      </c>
      <c r="J445" s="70">
        <f>SUM($H$18:$H445)</f>
        <v>8041.5444282238004</v>
      </c>
    </row>
    <row r="446" spans="1:10" x14ac:dyDescent="0.3">
      <c r="A446" s="36">
        <f>IF(Values_Entered,A445+1,"")</f>
        <v>429</v>
      </c>
      <c r="B446" s="35">
        <f>IF(Pay_Num&lt;&gt;"",DATE(YEAR(Loan_Start),MONTH(Loan_Start)+(Pay_Num)*12/Num_Pmt_Per_Year,DAY(Loan_Start)),"")</f>
        <v>58441</v>
      </c>
      <c r="C446" s="70">
        <f>IF(Pay_Num&lt;&gt;"",I445,"")</f>
        <v>0</v>
      </c>
      <c r="D446" s="70">
        <f>IF(Pay_Num&lt;&gt;"",Scheduled_Monthly_Payment,"")</f>
        <v>2418.3976845093252</v>
      </c>
      <c r="E446" s="71">
        <f>IF(AND(Pay_Num&lt;&gt;"",Sched_Pay+Scheduled_Extra_Payments&lt;Beg_Bal),Scheduled_Extra_Payments,IF(AND(Pay_Num&lt;&gt;"",Beg_Bal-Sched_Pay&gt;0),Beg_Bal-Sched_Pay,IF(Pay_Num&lt;&gt;"",0,"")))</f>
        <v>0</v>
      </c>
      <c r="F446" s="70">
        <f>IF(AND(Pay_Num&lt;&gt;"",Sched_Pay+Extra_Pay&lt;Beg_Bal),Sched_Pay+Extra_Pay,IF(Pay_Num&lt;&gt;"",Beg_Bal,""))</f>
        <v>0</v>
      </c>
      <c r="G446" s="70">
        <f>IF(Pay_Num&lt;&gt;"",Total_Pay-Int,"")</f>
        <v>0</v>
      </c>
      <c r="H446" s="70">
        <f>IF(Pay_Num&lt;&gt;"",Beg_Bal*Interest_Rate/Num_Pmt_Per_Year,"")</f>
        <v>0</v>
      </c>
      <c r="I446" s="70">
        <f>IF(AND(Pay_Num&lt;&gt;"",Sched_Pay+Extra_Pay&lt;Beg_Bal),Beg_Bal-Princ,IF(Pay_Num&lt;&gt;"",0,""))</f>
        <v>0</v>
      </c>
      <c r="J446" s="70">
        <f>SUM($H$18:$H446)</f>
        <v>8041.5444282238004</v>
      </c>
    </row>
    <row r="447" spans="1:10" x14ac:dyDescent="0.3">
      <c r="A447" s="36">
        <f>IF(Values_Entered,A446+1,"")</f>
        <v>430</v>
      </c>
      <c r="B447" s="35">
        <f>IF(Pay_Num&lt;&gt;"",DATE(YEAR(Loan_Start),MONTH(Loan_Start)+(Pay_Num)*12/Num_Pmt_Per_Year,DAY(Loan_Start)),"")</f>
        <v>58472</v>
      </c>
      <c r="C447" s="70">
        <f>IF(Pay_Num&lt;&gt;"",I446,"")</f>
        <v>0</v>
      </c>
      <c r="D447" s="70">
        <f>IF(Pay_Num&lt;&gt;"",Scheduled_Monthly_Payment,"")</f>
        <v>2418.3976845093252</v>
      </c>
      <c r="E447" s="71">
        <f>IF(AND(Pay_Num&lt;&gt;"",Sched_Pay+Scheduled_Extra_Payments&lt;Beg_Bal),Scheduled_Extra_Payments,IF(AND(Pay_Num&lt;&gt;"",Beg_Bal-Sched_Pay&gt;0),Beg_Bal-Sched_Pay,IF(Pay_Num&lt;&gt;"",0,"")))</f>
        <v>0</v>
      </c>
      <c r="F447" s="70">
        <f>IF(AND(Pay_Num&lt;&gt;"",Sched_Pay+Extra_Pay&lt;Beg_Bal),Sched_Pay+Extra_Pay,IF(Pay_Num&lt;&gt;"",Beg_Bal,""))</f>
        <v>0</v>
      </c>
      <c r="G447" s="70">
        <f>IF(Pay_Num&lt;&gt;"",Total_Pay-Int,"")</f>
        <v>0</v>
      </c>
      <c r="H447" s="70">
        <f>IF(Pay_Num&lt;&gt;"",Beg_Bal*Interest_Rate/Num_Pmt_Per_Year,"")</f>
        <v>0</v>
      </c>
      <c r="I447" s="70">
        <f>IF(AND(Pay_Num&lt;&gt;"",Sched_Pay+Extra_Pay&lt;Beg_Bal),Beg_Bal-Princ,IF(Pay_Num&lt;&gt;"",0,""))</f>
        <v>0</v>
      </c>
      <c r="J447" s="70">
        <f>SUM($H$18:$H447)</f>
        <v>8041.5444282238004</v>
      </c>
    </row>
    <row r="448" spans="1:10" x14ac:dyDescent="0.3">
      <c r="A448" s="36">
        <f>IF(Values_Entered,A447+1,"")</f>
        <v>431</v>
      </c>
      <c r="B448" s="35">
        <f>IF(Pay_Num&lt;&gt;"",DATE(YEAR(Loan_Start),MONTH(Loan_Start)+(Pay_Num)*12/Num_Pmt_Per_Year,DAY(Loan_Start)),"")</f>
        <v>58501</v>
      </c>
      <c r="C448" s="70">
        <f>IF(Pay_Num&lt;&gt;"",I447,"")</f>
        <v>0</v>
      </c>
      <c r="D448" s="70">
        <f>IF(Pay_Num&lt;&gt;"",Scheduled_Monthly_Payment,"")</f>
        <v>2418.3976845093252</v>
      </c>
      <c r="E448" s="71">
        <f>IF(AND(Pay_Num&lt;&gt;"",Sched_Pay+Scheduled_Extra_Payments&lt;Beg_Bal),Scheduled_Extra_Payments,IF(AND(Pay_Num&lt;&gt;"",Beg_Bal-Sched_Pay&gt;0),Beg_Bal-Sched_Pay,IF(Pay_Num&lt;&gt;"",0,"")))</f>
        <v>0</v>
      </c>
      <c r="F448" s="70">
        <f>IF(AND(Pay_Num&lt;&gt;"",Sched_Pay+Extra_Pay&lt;Beg_Bal),Sched_Pay+Extra_Pay,IF(Pay_Num&lt;&gt;"",Beg_Bal,""))</f>
        <v>0</v>
      </c>
      <c r="G448" s="70">
        <f>IF(Pay_Num&lt;&gt;"",Total_Pay-Int,"")</f>
        <v>0</v>
      </c>
      <c r="H448" s="70">
        <f>IF(Pay_Num&lt;&gt;"",Beg_Bal*Interest_Rate/Num_Pmt_Per_Year,"")</f>
        <v>0</v>
      </c>
      <c r="I448" s="70">
        <f>IF(AND(Pay_Num&lt;&gt;"",Sched_Pay+Extra_Pay&lt;Beg_Bal),Beg_Bal-Princ,IF(Pay_Num&lt;&gt;"",0,""))</f>
        <v>0</v>
      </c>
      <c r="J448" s="70">
        <f>SUM($H$18:$H448)</f>
        <v>8041.5444282238004</v>
      </c>
    </row>
    <row r="449" spans="1:10" x14ac:dyDescent="0.3">
      <c r="A449" s="36">
        <f>IF(Values_Entered,A448+1,"")</f>
        <v>432</v>
      </c>
      <c r="B449" s="35">
        <f>IF(Pay_Num&lt;&gt;"",DATE(YEAR(Loan_Start),MONTH(Loan_Start)+(Pay_Num)*12/Num_Pmt_Per_Year,DAY(Loan_Start)),"")</f>
        <v>58532</v>
      </c>
      <c r="C449" s="70">
        <f>IF(Pay_Num&lt;&gt;"",I448,"")</f>
        <v>0</v>
      </c>
      <c r="D449" s="70">
        <f>IF(Pay_Num&lt;&gt;"",Scheduled_Monthly_Payment,"")</f>
        <v>2418.3976845093252</v>
      </c>
      <c r="E449" s="71">
        <f>IF(AND(Pay_Num&lt;&gt;"",Sched_Pay+Scheduled_Extra_Payments&lt;Beg_Bal),Scheduled_Extra_Payments,IF(AND(Pay_Num&lt;&gt;"",Beg_Bal-Sched_Pay&gt;0),Beg_Bal-Sched_Pay,IF(Pay_Num&lt;&gt;"",0,"")))</f>
        <v>0</v>
      </c>
      <c r="F449" s="70">
        <f>IF(AND(Pay_Num&lt;&gt;"",Sched_Pay+Extra_Pay&lt;Beg_Bal),Sched_Pay+Extra_Pay,IF(Pay_Num&lt;&gt;"",Beg_Bal,""))</f>
        <v>0</v>
      </c>
      <c r="G449" s="70">
        <f>IF(Pay_Num&lt;&gt;"",Total_Pay-Int,"")</f>
        <v>0</v>
      </c>
      <c r="H449" s="70">
        <f>IF(Pay_Num&lt;&gt;"",Beg_Bal*Interest_Rate/Num_Pmt_Per_Year,"")</f>
        <v>0</v>
      </c>
      <c r="I449" s="70">
        <f>IF(AND(Pay_Num&lt;&gt;"",Sched_Pay+Extra_Pay&lt;Beg_Bal),Beg_Bal-Princ,IF(Pay_Num&lt;&gt;"",0,""))</f>
        <v>0</v>
      </c>
      <c r="J449" s="70">
        <f>SUM($H$18:$H449)</f>
        <v>8041.5444282238004</v>
      </c>
    </row>
    <row r="450" spans="1:10" x14ac:dyDescent="0.3">
      <c r="A450" s="36">
        <f>IF(Values_Entered,A449+1,"")</f>
        <v>433</v>
      </c>
      <c r="B450" s="35">
        <f>IF(Pay_Num&lt;&gt;"",DATE(YEAR(Loan_Start),MONTH(Loan_Start)+(Pay_Num)*12/Num_Pmt_Per_Year,DAY(Loan_Start)),"")</f>
        <v>58562</v>
      </c>
      <c r="C450" s="70">
        <f>IF(Pay_Num&lt;&gt;"",I449,"")</f>
        <v>0</v>
      </c>
      <c r="D450" s="70">
        <f>IF(Pay_Num&lt;&gt;"",Scheduled_Monthly_Payment,"")</f>
        <v>2418.3976845093252</v>
      </c>
      <c r="E450" s="71">
        <f>IF(AND(Pay_Num&lt;&gt;"",Sched_Pay+Scheduled_Extra_Payments&lt;Beg_Bal),Scheduled_Extra_Payments,IF(AND(Pay_Num&lt;&gt;"",Beg_Bal-Sched_Pay&gt;0),Beg_Bal-Sched_Pay,IF(Pay_Num&lt;&gt;"",0,"")))</f>
        <v>0</v>
      </c>
      <c r="F450" s="70">
        <f>IF(AND(Pay_Num&lt;&gt;"",Sched_Pay+Extra_Pay&lt;Beg_Bal),Sched_Pay+Extra_Pay,IF(Pay_Num&lt;&gt;"",Beg_Bal,""))</f>
        <v>0</v>
      </c>
      <c r="G450" s="70">
        <f>IF(Pay_Num&lt;&gt;"",Total_Pay-Int,"")</f>
        <v>0</v>
      </c>
      <c r="H450" s="70">
        <f>IF(Pay_Num&lt;&gt;"",Beg_Bal*Interest_Rate/Num_Pmt_Per_Year,"")</f>
        <v>0</v>
      </c>
      <c r="I450" s="70">
        <f>IF(AND(Pay_Num&lt;&gt;"",Sched_Pay+Extra_Pay&lt;Beg_Bal),Beg_Bal-Princ,IF(Pay_Num&lt;&gt;"",0,""))</f>
        <v>0</v>
      </c>
      <c r="J450" s="70">
        <f>SUM($H$18:$H450)</f>
        <v>8041.5444282238004</v>
      </c>
    </row>
    <row r="451" spans="1:10" x14ac:dyDescent="0.3">
      <c r="A451" s="36">
        <f>IF(Values_Entered,A450+1,"")</f>
        <v>434</v>
      </c>
      <c r="B451" s="35">
        <f>IF(Pay_Num&lt;&gt;"",DATE(YEAR(Loan_Start),MONTH(Loan_Start)+(Pay_Num)*12/Num_Pmt_Per_Year,DAY(Loan_Start)),"")</f>
        <v>58593</v>
      </c>
      <c r="C451" s="70">
        <f>IF(Pay_Num&lt;&gt;"",I450,"")</f>
        <v>0</v>
      </c>
      <c r="D451" s="70">
        <f>IF(Pay_Num&lt;&gt;"",Scheduled_Monthly_Payment,"")</f>
        <v>2418.3976845093252</v>
      </c>
      <c r="E451" s="71">
        <f>IF(AND(Pay_Num&lt;&gt;"",Sched_Pay+Scheduled_Extra_Payments&lt;Beg_Bal),Scheduled_Extra_Payments,IF(AND(Pay_Num&lt;&gt;"",Beg_Bal-Sched_Pay&gt;0),Beg_Bal-Sched_Pay,IF(Pay_Num&lt;&gt;"",0,"")))</f>
        <v>0</v>
      </c>
      <c r="F451" s="70">
        <f>IF(AND(Pay_Num&lt;&gt;"",Sched_Pay+Extra_Pay&lt;Beg_Bal),Sched_Pay+Extra_Pay,IF(Pay_Num&lt;&gt;"",Beg_Bal,""))</f>
        <v>0</v>
      </c>
      <c r="G451" s="70">
        <f>IF(Pay_Num&lt;&gt;"",Total_Pay-Int,"")</f>
        <v>0</v>
      </c>
      <c r="H451" s="70">
        <f>IF(Pay_Num&lt;&gt;"",Beg_Bal*Interest_Rate/Num_Pmt_Per_Year,"")</f>
        <v>0</v>
      </c>
      <c r="I451" s="70">
        <f>IF(AND(Pay_Num&lt;&gt;"",Sched_Pay+Extra_Pay&lt;Beg_Bal),Beg_Bal-Princ,IF(Pay_Num&lt;&gt;"",0,""))</f>
        <v>0</v>
      </c>
      <c r="J451" s="70">
        <f>SUM($H$18:$H451)</f>
        <v>8041.5444282238004</v>
      </c>
    </row>
    <row r="452" spans="1:10" x14ac:dyDescent="0.3">
      <c r="A452" s="36">
        <f>IF(Values_Entered,A451+1,"")</f>
        <v>435</v>
      </c>
      <c r="B452" s="35">
        <f>IF(Pay_Num&lt;&gt;"",DATE(YEAR(Loan_Start),MONTH(Loan_Start)+(Pay_Num)*12/Num_Pmt_Per_Year,DAY(Loan_Start)),"")</f>
        <v>58623</v>
      </c>
      <c r="C452" s="70">
        <f>IF(Pay_Num&lt;&gt;"",I451,"")</f>
        <v>0</v>
      </c>
      <c r="D452" s="70">
        <f>IF(Pay_Num&lt;&gt;"",Scheduled_Monthly_Payment,"")</f>
        <v>2418.3976845093252</v>
      </c>
      <c r="E452" s="71">
        <f>IF(AND(Pay_Num&lt;&gt;"",Sched_Pay+Scheduled_Extra_Payments&lt;Beg_Bal),Scheduled_Extra_Payments,IF(AND(Pay_Num&lt;&gt;"",Beg_Bal-Sched_Pay&gt;0),Beg_Bal-Sched_Pay,IF(Pay_Num&lt;&gt;"",0,"")))</f>
        <v>0</v>
      </c>
      <c r="F452" s="70">
        <f>IF(AND(Pay_Num&lt;&gt;"",Sched_Pay+Extra_Pay&lt;Beg_Bal),Sched_Pay+Extra_Pay,IF(Pay_Num&lt;&gt;"",Beg_Bal,""))</f>
        <v>0</v>
      </c>
      <c r="G452" s="70">
        <f>IF(Pay_Num&lt;&gt;"",Total_Pay-Int,"")</f>
        <v>0</v>
      </c>
      <c r="H452" s="70">
        <f>IF(Pay_Num&lt;&gt;"",Beg_Bal*Interest_Rate/Num_Pmt_Per_Year,"")</f>
        <v>0</v>
      </c>
      <c r="I452" s="70">
        <f>IF(AND(Pay_Num&lt;&gt;"",Sched_Pay+Extra_Pay&lt;Beg_Bal),Beg_Bal-Princ,IF(Pay_Num&lt;&gt;"",0,""))</f>
        <v>0</v>
      </c>
      <c r="J452" s="70">
        <f>SUM($H$18:$H452)</f>
        <v>8041.5444282238004</v>
      </c>
    </row>
    <row r="453" spans="1:10" x14ac:dyDescent="0.3">
      <c r="A453" s="36">
        <f>IF(Values_Entered,A452+1,"")</f>
        <v>436</v>
      </c>
      <c r="B453" s="35">
        <f>IF(Pay_Num&lt;&gt;"",DATE(YEAR(Loan_Start),MONTH(Loan_Start)+(Pay_Num)*12/Num_Pmt_Per_Year,DAY(Loan_Start)),"")</f>
        <v>58654</v>
      </c>
      <c r="C453" s="70">
        <f>IF(Pay_Num&lt;&gt;"",I452,"")</f>
        <v>0</v>
      </c>
      <c r="D453" s="70">
        <f>IF(Pay_Num&lt;&gt;"",Scheduled_Monthly_Payment,"")</f>
        <v>2418.3976845093252</v>
      </c>
      <c r="E453" s="71">
        <f>IF(AND(Pay_Num&lt;&gt;"",Sched_Pay+Scheduled_Extra_Payments&lt;Beg_Bal),Scheduled_Extra_Payments,IF(AND(Pay_Num&lt;&gt;"",Beg_Bal-Sched_Pay&gt;0),Beg_Bal-Sched_Pay,IF(Pay_Num&lt;&gt;"",0,"")))</f>
        <v>0</v>
      </c>
      <c r="F453" s="70">
        <f>IF(AND(Pay_Num&lt;&gt;"",Sched_Pay+Extra_Pay&lt;Beg_Bal),Sched_Pay+Extra_Pay,IF(Pay_Num&lt;&gt;"",Beg_Bal,""))</f>
        <v>0</v>
      </c>
      <c r="G453" s="70">
        <f>IF(Pay_Num&lt;&gt;"",Total_Pay-Int,"")</f>
        <v>0</v>
      </c>
      <c r="H453" s="70">
        <f>IF(Pay_Num&lt;&gt;"",Beg_Bal*Interest_Rate/Num_Pmt_Per_Year,"")</f>
        <v>0</v>
      </c>
      <c r="I453" s="70">
        <f>IF(AND(Pay_Num&lt;&gt;"",Sched_Pay+Extra_Pay&lt;Beg_Bal),Beg_Bal-Princ,IF(Pay_Num&lt;&gt;"",0,""))</f>
        <v>0</v>
      </c>
      <c r="J453" s="70">
        <f>SUM($H$18:$H453)</f>
        <v>8041.5444282238004</v>
      </c>
    </row>
    <row r="454" spans="1:10" x14ac:dyDescent="0.3">
      <c r="A454" s="36">
        <f>IF(Values_Entered,A453+1,"")</f>
        <v>437</v>
      </c>
      <c r="B454" s="35">
        <f>IF(Pay_Num&lt;&gt;"",DATE(YEAR(Loan_Start),MONTH(Loan_Start)+(Pay_Num)*12/Num_Pmt_Per_Year,DAY(Loan_Start)),"")</f>
        <v>58685</v>
      </c>
      <c r="C454" s="70">
        <f>IF(Pay_Num&lt;&gt;"",I453,"")</f>
        <v>0</v>
      </c>
      <c r="D454" s="70">
        <f>IF(Pay_Num&lt;&gt;"",Scheduled_Monthly_Payment,"")</f>
        <v>2418.3976845093252</v>
      </c>
      <c r="E454" s="71">
        <f>IF(AND(Pay_Num&lt;&gt;"",Sched_Pay+Scheduled_Extra_Payments&lt;Beg_Bal),Scheduled_Extra_Payments,IF(AND(Pay_Num&lt;&gt;"",Beg_Bal-Sched_Pay&gt;0),Beg_Bal-Sched_Pay,IF(Pay_Num&lt;&gt;"",0,"")))</f>
        <v>0</v>
      </c>
      <c r="F454" s="70">
        <f>IF(AND(Pay_Num&lt;&gt;"",Sched_Pay+Extra_Pay&lt;Beg_Bal),Sched_Pay+Extra_Pay,IF(Pay_Num&lt;&gt;"",Beg_Bal,""))</f>
        <v>0</v>
      </c>
      <c r="G454" s="70">
        <f>IF(Pay_Num&lt;&gt;"",Total_Pay-Int,"")</f>
        <v>0</v>
      </c>
      <c r="H454" s="70">
        <f>IF(Pay_Num&lt;&gt;"",Beg_Bal*Interest_Rate/Num_Pmt_Per_Year,"")</f>
        <v>0</v>
      </c>
      <c r="I454" s="70">
        <f>IF(AND(Pay_Num&lt;&gt;"",Sched_Pay+Extra_Pay&lt;Beg_Bal),Beg_Bal-Princ,IF(Pay_Num&lt;&gt;"",0,""))</f>
        <v>0</v>
      </c>
      <c r="J454" s="70">
        <f>SUM($H$18:$H454)</f>
        <v>8041.5444282238004</v>
      </c>
    </row>
    <row r="455" spans="1:10" x14ac:dyDescent="0.3">
      <c r="A455" s="36">
        <f>IF(Values_Entered,A454+1,"")</f>
        <v>438</v>
      </c>
      <c r="B455" s="35">
        <f>IF(Pay_Num&lt;&gt;"",DATE(YEAR(Loan_Start),MONTH(Loan_Start)+(Pay_Num)*12/Num_Pmt_Per_Year,DAY(Loan_Start)),"")</f>
        <v>58715</v>
      </c>
      <c r="C455" s="70">
        <f>IF(Pay_Num&lt;&gt;"",I454,"")</f>
        <v>0</v>
      </c>
      <c r="D455" s="70">
        <f>IF(Pay_Num&lt;&gt;"",Scheduled_Monthly_Payment,"")</f>
        <v>2418.3976845093252</v>
      </c>
      <c r="E455" s="71">
        <f>IF(AND(Pay_Num&lt;&gt;"",Sched_Pay+Scheduled_Extra_Payments&lt;Beg_Bal),Scheduled_Extra_Payments,IF(AND(Pay_Num&lt;&gt;"",Beg_Bal-Sched_Pay&gt;0),Beg_Bal-Sched_Pay,IF(Pay_Num&lt;&gt;"",0,"")))</f>
        <v>0</v>
      </c>
      <c r="F455" s="70">
        <f>IF(AND(Pay_Num&lt;&gt;"",Sched_Pay+Extra_Pay&lt;Beg_Bal),Sched_Pay+Extra_Pay,IF(Pay_Num&lt;&gt;"",Beg_Bal,""))</f>
        <v>0</v>
      </c>
      <c r="G455" s="70">
        <f>IF(Pay_Num&lt;&gt;"",Total_Pay-Int,"")</f>
        <v>0</v>
      </c>
      <c r="H455" s="70">
        <f>IF(Pay_Num&lt;&gt;"",Beg_Bal*Interest_Rate/Num_Pmt_Per_Year,"")</f>
        <v>0</v>
      </c>
      <c r="I455" s="70">
        <f>IF(AND(Pay_Num&lt;&gt;"",Sched_Pay+Extra_Pay&lt;Beg_Bal),Beg_Bal-Princ,IF(Pay_Num&lt;&gt;"",0,""))</f>
        <v>0</v>
      </c>
      <c r="J455" s="70">
        <f>SUM($H$18:$H455)</f>
        <v>8041.5444282238004</v>
      </c>
    </row>
    <row r="456" spans="1:10" x14ac:dyDescent="0.3">
      <c r="A456" s="36">
        <f>IF(Values_Entered,A455+1,"")</f>
        <v>439</v>
      </c>
      <c r="B456" s="35">
        <f>IF(Pay_Num&lt;&gt;"",DATE(YEAR(Loan_Start),MONTH(Loan_Start)+(Pay_Num)*12/Num_Pmt_Per_Year,DAY(Loan_Start)),"")</f>
        <v>58746</v>
      </c>
      <c r="C456" s="70">
        <f>IF(Pay_Num&lt;&gt;"",I455,"")</f>
        <v>0</v>
      </c>
      <c r="D456" s="70">
        <f>IF(Pay_Num&lt;&gt;"",Scheduled_Monthly_Payment,"")</f>
        <v>2418.3976845093252</v>
      </c>
      <c r="E456" s="71">
        <f>IF(AND(Pay_Num&lt;&gt;"",Sched_Pay+Scheduled_Extra_Payments&lt;Beg_Bal),Scheduled_Extra_Payments,IF(AND(Pay_Num&lt;&gt;"",Beg_Bal-Sched_Pay&gt;0),Beg_Bal-Sched_Pay,IF(Pay_Num&lt;&gt;"",0,"")))</f>
        <v>0</v>
      </c>
      <c r="F456" s="70">
        <f>IF(AND(Pay_Num&lt;&gt;"",Sched_Pay+Extra_Pay&lt;Beg_Bal),Sched_Pay+Extra_Pay,IF(Pay_Num&lt;&gt;"",Beg_Bal,""))</f>
        <v>0</v>
      </c>
      <c r="G456" s="70">
        <f>IF(Pay_Num&lt;&gt;"",Total_Pay-Int,"")</f>
        <v>0</v>
      </c>
      <c r="H456" s="70">
        <f>IF(Pay_Num&lt;&gt;"",Beg_Bal*Interest_Rate/Num_Pmt_Per_Year,"")</f>
        <v>0</v>
      </c>
      <c r="I456" s="70">
        <f>IF(AND(Pay_Num&lt;&gt;"",Sched_Pay+Extra_Pay&lt;Beg_Bal),Beg_Bal-Princ,IF(Pay_Num&lt;&gt;"",0,""))</f>
        <v>0</v>
      </c>
      <c r="J456" s="70">
        <f>SUM($H$18:$H456)</f>
        <v>8041.5444282238004</v>
      </c>
    </row>
    <row r="457" spans="1:10" x14ac:dyDescent="0.3">
      <c r="A457" s="36">
        <f>IF(Values_Entered,A456+1,"")</f>
        <v>440</v>
      </c>
      <c r="B457" s="35">
        <f>IF(Pay_Num&lt;&gt;"",DATE(YEAR(Loan_Start),MONTH(Loan_Start)+(Pay_Num)*12/Num_Pmt_Per_Year,DAY(Loan_Start)),"")</f>
        <v>58776</v>
      </c>
      <c r="C457" s="70">
        <f>IF(Pay_Num&lt;&gt;"",I456,"")</f>
        <v>0</v>
      </c>
      <c r="D457" s="70">
        <f>IF(Pay_Num&lt;&gt;"",Scheduled_Monthly_Payment,"")</f>
        <v>2418.3976845093252</v>
      </c>
      <c r="E457" s="71">
        <f>IF(AND(Pay_Num&lt;&gt;"",Sched_Pay+Scheduled_Extra_Payments&lt;Beg_Bal),Scheduled_Extra_Payments,IF(AND(Pay_Num&lt;&gt;"",Beg_Bal-Sched_Pay&gt;0),Beg_Bal-Sched_Pay,IF(Pay_Num&lt;&gt;"",0,"")))</f>
        <v>0</v>
      </c>
      <c r="F457" s="70">
        <f>IF(AND(Pay_Num&lt;&gt;"",Sched_Pay+Extra_Pay&lt;Beg_Bal),Sched_Pay+Extra_Pay,IF(Pay_Num&lt;&gt;"",Beg_Bal,""))</f>
        <v>0</v>
      </c>
      <c r="G457" s="70">
        <f>IF(Pay_Num&lt;&gt;"",Total_Pay-Int,"")</f>
        <v>0</v>
      </c>
      <c r="H457" s="70">
        <f>IF(Pay_Num&lt;&gt;"",Beg_Bal*Interest_Rate/Num_Pmt_Per_Year,"")</f>
        <v>0</v>
      </c>
      <c r="I457" s="70">
        <f>IF(AND(Pay_Num&lt;&gt;"",Sched_Pay+Extra_Pay&lt;Beg_Bal),Beg_Bal-Princ,IF(Pay_Num&lt;&gt;"",0,""))</f>
        <v>0</v>
      </c>
      <c r="J457" s="70">
        <f>SUM($H$18:$H457)</f>
        <v>8041.5444282238004</v>
      </c>
    </row>
    <row r="458" spans="1:10" x14ac:dyDescent="0.3">
      <c r="A458" s="36">
        <f>IF(Values_Entered,A457+1,"")</f>
        <v>441</v>
      </c>
      <c r="B458" s="35">
        <f>IF(Pay_Num&lt;&gt;"",DATE(YEAR(Loan_Start),MONTH(Loan_Start)+(Pay_Num)*12/Num_Pmt_Per_Year,DAY(Loan_Start)),"")</f>
        <v>58807</v>
      </c>
      <c r="C458" s="70">
        <f>IF(Pay_Num&lt;&gt;"",I457,"")</f>
        <v>0</v>
      </c>
      <c r="D458" s="70">
        <f>IF(Pay_Num&lt;&gt;"",Scheduled_Monthly_Payment,"")</f>
        <v>2418.3976845093252</v>
      </c>
      <c r="E458" s="71">
        <f>IF(AND(Pay_Num&lt;&gt;"",Sched_Pay+Scheduled_Extra_Payments&lt;Beg_Bal),Scheduled_Extra_Payments,IF(AND(Pay_Num&lt;&gt;"",Beg_Bal-Sched_Pay&gt;0),Beg_Bal-Sched_Pay,IF(Pay_Num&lt;&gt;"",0,"")))</f>
        <v>0</v>
      </c>
      <c r="F458" s="70">
        <f>IF(AND(Pay_Num&lt;&gt;"",Sched_Pay+Extra_Pay&lt;Beg_Bal),Sched_Pay+Extra_Pay,IF(Pay_Num&lt;&gt;"",Beg_Bal,""))</f>
        <v>0</v>
      </c>
      <c r="G458" s="70">
        <f>IF(Pay_Num&lt;&gt;"",Total_Pay-Int,"")</f>
        <v>0</v>
      </c>
      <c r="H458" s="70">
        <f>IF(Pay_Num&lt;&gt;"",Beg_Bal*Interest_Rate/Num_Pmt_Per_Year,"")</f>
        <v>0</v>
      </c>
      <c r="I458" s="70">
        <f>IF(AND(Pay_Num&lt;&gt;"",Sched_Pay+Extra_Pay&lt;Beg_Bal),Beg_Bal-Princ,IF(Pay_Num&lt;&gt;"",0,""))</f>
        <v>0</v>
      </c>
      <c r="J458" s="70">
        <f>SUM($H$18:$H458)</f>
        <v>8041.5444282238004</v>
      </c>
    </row>
    <row r="459" spans="1:10" x14ac:dyDescent="0.3">
      <c r="A459" s="36">
        <f>IF(Values_Entered,A458+1,"")</f>
        <v>442</v>
      </c>
      <c r="B459" s="35">
        <f>IF(Pay_Num&lt;&gt;"",DATE(YEAR(Loan_Start),MONTH(Loan_Start)+(Pay_Num)*12/Num_Pmt_Per_Year,DAY(Loan_Start)),"")</f>
        <v>58838</v>
      </c>
      <c r="C459" s="70">
        <f>IF(Pay_Num&lt;&gt;"",I458,"")</f>
        <v>0</v>
      </c>
      <c r="D459" s="70">
        <f>IF(Pay_Num&lt;&gt;"",Scheduled_Monthly_Payment,"")</f>
        <v>2418.3976845093252</v>
      </c>
      <c r="E459" s="71">
        <f>IF(AND(Pay_Num&lt;&gt;"",Sched_Pay+Scheduled_Extra_Payments&lt;Beg_Bal),Scheduled_Extra_Payments,IF(AND(Pay_Num&lt;&gt;"",Beg_Bal-Sched_Pay&gt;0),Beg_Bal-Sched_Pay,IF(Pay_Num&lt;&gt;"",0,"")))</f>
        <v>0</v>
      </c>
      <c r="F459" s="70">
        <f>IF(AND(Pay_Num&lt;&gt;"",Sched_Pay+Extra_Pay&lt;Beg_Bal),Sched_Pay+Extra_Pay,IF(Pay_Num&lt;&gt;"",Beg_Bal,""))</f>
        <v>0</v>
      </c>
      <c r="G459" s="70">
        <f>IF(Pay_Num&lt;&gt;"",Total_Pay-Int,"")</f>
        <v>0</v>
      </c>
      <c r="H459" s="70">
        <f>IF(Pay_Num&lt;&gt;"",Beg_Bal*Interest_Rate/Num_Pmt_Per_Year,"")</f>
        <v>0</v>
      </c>
      <c r="I459" s="70">
        <f>IF(AND(Pay_Num&lt;&gt;"",Sched_Pay+Extra_Pay&lt;Beg_Bal),Beg_Bal-Princ,IF(Pay_Num&lt;&gt;"",0,""))</f>
        <v>0</v>
      </c>
      <c r="J459" s="70">
        <f>SUM($H$18:$H459)</f>
        <v>8041.5444282238004</v>
      </c>
    </row>
    <row r="460" spans="1:10" x14ac:dyDescent="0.3">
      <c r="A460" s="36">
        <f>IF(Values_Entered,A459+1,"")</f>
        <v>443</v>
      </c>
      <c r="B460" s="35">
        <f>IF(Pay_Num&lt;&gt;"",DATE(YEAR(Loan_Start),MONTH(Loan_Start)+(Pay_Num)*12/Num_Pmt_Per_Year,DAY(Loan_Start)),"")</f>
        <v>58866</v>
      </c>
      <c r="C460" s="70">
        <f>IF(Pay_Num&lt;&gt;"",I459,"")</f>
        <v>0</v>
      </c>
      <c r="D460" s="70">
        <f>IF(Pay_Num&lt;&gt;"",Scheduled_Monthly_Payment,"")</f>
        <v>2418.3976845093252</v>
      </c>
      <c r="E460" s="71">
        <f>IF(AND(Pay_Num&lt;&gt;"",Sched_Pay+Scheduled_Extra_Payments&lt;Beg_Bal),Scheduled_Extra_Payments,IF(AND(Pay_Num&lt;&gt;"",Beg_Bal-Sched_Pay&gt;0),Beg_Bal-Sched_Pay,IF(Pay_Num&lt;&gt;"",0,"")))</f>
        <v>0</v>
      </c>
      <c r="F460" s="70">
        <f>IF(AND(Pay_Num&lt;&gt;"",Sched_Pay+Extra_Pay&lt;Beg_Bal),Sched_Pay+Extra_Pay,IF(Pay_Num&lt;&gt;"",Beg_Bal,""))</f>
        <v>0</v>
      </c>
      <c r="G460" s="70">
        <f>IF(Pay_Num&lt;&gt;"",Total_Pay-Int,"")</f>
        <v>0</v>
      </c>
      <c r="H460" s="70">
        <f>IF(Pay_Num&lt;&gt;"",Beg_Bal*Interest_Rate/Num_Pmt_Per_Year,"")</f>
        <v>0</v>
      </c>
      <c r="I460" s="70">
        <f>IF(AND(Pay_Num&lt;&gt;"",Sched_Pay+Extra_Pay&lt;Beg_Bal),Beg_Bal-Princ,IF(Pay_Num&lt;&gt;"",0,""))</f>
        <v>0</v>
      </c>
      <c r="J460" s="70">
        <f>SUM($H$18:$H460)</f>
        <v>8041.5444282238004</v>
      </c>
    </row>
    <row r="461" spans="1:10" x14ac:dyDescent="0.3">
      <c r="A461" s="36">
        <f>IF(Values_Entered,A460+1,"")</f>
        <v>444</v>
      </c>
      <c r="B461" s="35">
        <f>IF(Pay_Num&lt;&gt;"",DATE(YEAR(Loan_Start),MONTH(Loan_Start)+(Pay_Num)*12/Num_Pmt_Per_Year,DAY(Loan_Start)),"")</f>
        <v>58897</v>
      </c>
      <c r="C461" s="70">
        <f>IF(Pay_Num&lt;&gt;"",I460,"")</f>
        <v>0</v>
      </c>
      <c r="D461" s="70">
        <f>IF(Pay_Num&lt;&gt;"",Scheduled_Monthly_Payment,"")</f>
        <v>2418.3976845093252</v>
      </c>
      <c r="E461" s="71">
        <f>IF(AND(Pay_Num&lt;&gt;"",Sched_Pay+Scheduled_Extra_Payments&lt;Beg_Bal),Scheduled_Extra_Payments,IF(AND(Pay_Num&lt;&gt;"",Beg_Bal-Sched_Pay&gt;0),Beg_Bal-Sched_Pay,IF(Pay_Num&lt;&gt;"",0,"")))</f>
        <v>0</v>
      </c>
      <c r="F461" s="70">
        <f>IF(AND(Pay_Num&lt;&gt;"",Sched_Pay+Extra_Pay&lt;Beg_Bal),Sched_Pay+Extra_Pay,IF(Pay_Num&lt;&gt;"",Beg_Bal,""))</f>
        <v>0</v>
      </c>
      <c r="G461" s="70">
        <f>IF(Pay_Num&lt;&gt;"",Total_Pay-Int,"")</f>
        <v>0</v>
      </c>
      <c r="H461" s="70">
        <f>IF(Pay_Num&lt;&gt;"",Beg_Bal*Interest_Rate/Num_Pmt_Per_Year,"")</f>
        <v>0</v>
      </c>
      <c r="I461" s="70">
        <f>IF(AND(Pay_Num&lt;&gt;"",Sched_Pay+Extra_Pay&lt;Beg_Bal),Beg_Bal-Princ,IF(Pay_Num&lt;&gt;"",0,""))</f>
        <v>0</v>
      </c>
      <c r="J461" s="70">
        <f>SUM($H$18:$H461)</f>
        <v>8041.5444282238004</v>
      </c>
    </row>
    <row r="462" spans="1:10" x14ac:dyDescent="0.3">
      <c r="A462" s="36">
        <f>IF(Values_Entered,A461+1,"")</f>
        <v>445</v>
      </c>
      <c r="B462" s="35">
        <f>IF(Pay_Num&lt;&gt;"",DATE(YEAR(Loan_Start),MONTH(Loan_Start)+(Pay_Num)*12/Num_Pmt_Per_Year,DAY(Loan_Start)),"")</f>
        <v>58927</v>
      </c>
      <c r="C462" s="70">
        <f>IF(Pay_Num&lt;&gt;"",I461,"")</f>
        <v>0</v>
      </c>
      <c r="D462" s="70">
        <f>IF(Pay_Num&lt;&gt;"",Scheduled_Monthly_Payment,"")</f>
        <v>2418.3976845093252</v>
      </c>
      <c r="E462" s="71">
        <f>IF(AND(Pay_Num&lt;&gt;"",Sched_Pay+Scheduled_Extra_Payments&lt;Beg_Bal),Scheduled_Extra_Payments,IF(AND(Pay_Num&lt;&gt;"",Beg_Bal-Sched_Pay&gt;0),Beg_Bal-Sched_Pay,IF(Pay_Num&lt;&gt;"",0,"")))</f>
        <v>0</v>
      </c>
      <c r="F462" s="70">
        <f>IF(AND(Pay_Num&lt;&gt;"",Sched_Pay+Extra_Pay&lt;Beg_Bal),Sched_Pay+Extra_Pay,IF(Pay_Num&lt;&gt;"",Beg_Bal,""))</f>
        <v>0</v>
      </c>
      <c r="G462" s="70">
        <f>IF(Pay_Num&lt;&gt;"",Total_Pay-Int,"")</f>
        <v>0</v>
      </c>
      <c r="H462" s="70">
        <f>IF(Pay_Num&lt;&gt;"",Beg_Bal*Interest_Rate/Num_Pmt_Per_Year,"")</f>
        <v>0</v>
      </c>
      <c r="I462" s="70">
        <f>IF(AND(Pay_Num&lt;&gt;"",Sched_Pay+Extra_Pay&lt;Beg_Bal),Beg_Bal-Princ,IF(Pay_Num&lt;&gt;"",0,""))</f>
        <v>0</v>
      </c>
      <c r="J462" s="70">
        <f>SUM($H$18:$H462)</f>
        <v>8041.5444282238004</v>
      </c>
    </row>
    <row r="463" spans="1:10" x14ac:dyDescent="0.3">
      <c r="A463" s="36">
        <f>IF(Values_Entered,A462+1,"")</f>
        <v>446</v>
      </c>
      <c r="B463" s="35">
        <f>IF(Pay_Num&lt;&gt;"",DATE(YEAR(Loan_Start),MONTH(Loan_Start)+(Pay_Num)*12/Num_Pmt_Per_Year,DAY(Loan_Start)),"")</f>
        <v>58958</v>
      </c>
      <c r="C463" s="70">
        <f>IF(Pay_Num&lt;&gt;"",I462,"")</f>
        <v>0</v>
      </c>
      <c r="D463" s="70">
        <f>IF(Pay_Num&lt;&gt;"",Scheduled_Monthly_Payment,"")</f>
        <v>2418.3976845093252</v>
      </c>
      <c r="E463" s="71">
        <f>IF(AND(Pay_Num&lt;&gt;"",Sched_Pay+Scheduled_Extra_Payments&lt;Beg_Bal),Scheduled_Extra_Payments,IF(AND(Pay_Num&lt;&gt;"",Beg_Bal-Sched_Pay&gt;0),Beg_Bal-Sched_Pay,IF(Pay_Num&lt;&gt;"",0,"")))</f>
        <v>0</v>
      </c>
      <c r="F463" s="70">
        <f>IF(AND(Pay_Num&lt;&gt;"",Sched_Pay+Extra_Pay&lt;Beg_Bal),Sched_Pay+Extra_Pay,IF(Pay_Num&lt;&gt;"",Beg_Bal,""))</f>
        <v>0</v>
      </c>
      <c r="G463" s="70">
        <f>IF(Pay_Num&lt;&gt;"",Total_Pay-Int,"")</f>
        <v>0</v>
      </c>
      <c r="H463" s="70">
        <f>IF(Pay_Num&lt;&gt;"",Beg_Bal*Interest_Rate/Num_Pmt_Per_Year,"")</f>
        <v>0</v>
      </c>
      <c r="I463" s="70">
        <f>IF(AND(Pay_Num&lt;&gt;"",Sched_Pay+Extra_Pay&lt;Beg_Bal),Beg_Bal-Princ,IF(Pay_Num&lt;&gt;"",0,""))</f>
        <v>0</v>
      </c>
      <c r="J463" s="70">
        <f>SUM($H$18:$H463)</f>
        <v>8041.5444282238004</v>
      </c>
    </row>
    <row r="464" spans="1:10" x14ac:dyDescent="0.3">
      <c r="A464" s="36">
        <f>IF(Values_Entered,A463+1,"")</f>
        <v>447</v>
      </c>
      <c r="B464" s="35">
        <f>IF(Pay_Num&lt;&gt;"",DATE(YEAR(Loan_Start),MONTH(Loan_Start)+(Pay_Num)*12/Num_Pmt_Per_Year,DAY(Loan_Start)),"")</f>
        <v>58988</v>
      </c>
      <c r="C464" s="70">
        <f>IF(Pay_Num&lt;&gt;"",I463,"")</f>
        <v>0</v>
      </c>
      <c r="D464" s="70">
        <f>IF(Pay_Num&lt;&gt;"",Scheduled_Monthly_Payment,"")</f>
        <v>2418.3976845093252</v>
      </c>
      <c r="E464" s="71">
        <f>IF(AND(Pay_Num&lt;&gt;"",Sched_Pay+Scheduled_Extra_Payments&lt;Beg_Bal),Scheduled_Extra_Payments,IF(AND(Pay_Num&lt;&gt;"",Beg_Bal-Sched_Pay&gt;0),Beg_Bal-Sched_Pay,IF(Pay_Num&lt;&gt;"",0,"")))</f>
        <v>0</v>
      </c>
      <c r="F464" s="70">
        <f>IF(AND(Pay_Num&lt;&gt;"",Sched_Pay+Extra_Pay&lt;Beg_Bal),Sched_Pay+Extra_Pay,IF(Pay_Num&lt;&gt;"",Beg_Bal,""))</f>
        <v>0</v>
      </c>
      <c r="G464" s="70">
        <f>IF(Pay_Num&lt;&gt;"",Total_Pay-Int,"")</f>
        <v>0</v>
      </c>
      <c r="H464" s="70">
        <f>IF(Pay_Num&lt;&gt;"",Beg_Bal*Interest_Rate/Num_Pmt_Per_Year,"")</f>
        <v>0</v>
      </c>
      <c r="I464" s="70">
        <f>IF(AND(Pay_Num&lt;&gt;"",Sched_Pay+Extra_Pay&lt;Beg_Bal),Beg_Bal-Princ,IF(Pay_Num&lt;&gt;"",0,""))</f>
        <v>0</v>
      </c>
      <c r="J464" s="70">
        <f>SUM($H$18:$H464)</f>
        <v>8041.5444282238004</v>
      </c>
    </row>
    <row r="465" spans="1:10" x14ac:dyDescent="0.3">
      <c r="A465" s="36">
        <f>IF(Values_Entered,A464+1,"")</f>
        <v>448</v>
      </c>
      <c r="B465" s="35">
        <f>IF(Pay_Num&lt;&gt;"",DATE(YEAR(Loan_Start),MONTH(Loan_Start)+(Pay_Num)*12/Num_Pmt_Per_Year,DAY(Loan_Start)),"")</f>
        <v>59019</v>
      </c>
      <c r="C465" s="70">
        <f>IF(Pay_Num&lt;&gt;"",I464,"")</f>
        <v>0</v>
      </c>
      <c r="D465" s="70">
        <f>IF(Pay_Num&lt;&gt;"",Scheduled_Monthly_Payment,"")</f>
        <v>2418.3976845093252</v>
      </c>
      <c r="E465" s="71">
        <f>IF(AND(Pay_Num&lt;&gt;"",Sched_Pay+Scheduled_Extra_Payments&lt;Beg_Bal),Scheduled_Extra_Payments,IF(AND(Pay_Num&lt;&gt;"",Beg_Bal-Sched_Pay&gt;0),Beg_Bal-Sched_Pay,IF(Pay_Num&lt;&gt;"",0,"")))</f>
        <v>0</v>
      </c>
      <c r="F465" s="70">
        <f>IF(AND(Pay_Num&lt;&gt;"",Sched_Pay+Extra_Pay&lt;Beg_Bal),Sched_Pay+Extra_Pay,IF(Pay_Num&lt;&gt;"",Beg_Bal,""))</f>
        <v>0</v>
      </c>
      <c r="G465" s="70">
        <f>IF(Pay_Num&lt;&gt;"",Total_Pay-Int,"")</f>
        <v>0</v>
      </c>
      <c r="H465" s="70">
        <f>IF(Pay_Num&lt;&gt;"",Beg_Bal*Interest_Rate/Num_Pmt_Per_Year,"")</f>
        <v>0</v>
      </c>
      <c r="I465" s="70">
        <f>IF(AND(Pay_Num&lt;&gt;"",Sched_Pay+Extra_Pay&lt;Beg_Bal),Beg_Bal-Princ,IF(Pay_Num&lt;&gt;"",0,""))</f>
        <v>0</v>
      </c>
      <c r="J465" s="70">
        <f>SUM($H$18:$H465)</f>
        <v>8041.5444282238004</v>
      </c>
    </row>
    <row r="466" spans="1:10" x14ac:dyDescent="0.3">
      <c r="A466" s="36">
        <f>IF(Values_Entered,A465+1,"")</f>
        <v>449</v>
      </c>
      <c r="B466" s="35">
        <f>IF(Pay_Num&lt;&gt;"",DATE(YEAR(Loan_Start),MONTH(Loan_Start)+(Pay_Num)*12/Num_Pmt_Per_Year,DAY(Loan_Start)),"")</f>
        <v>59050</v>
      </c>
      <c r="C466" s="70">
        <f>IF(Pay_Num&lt;&gt;"",I465,"")</f>
        <v>0</v>
      </c>
      <c r="D466" s="70">
        <f>IF(Pay_Num&lt;&gt;"",Scheduled_Monthly_Payment,"")</f>
        <v>2418.3976845093252</v>
      </c>
      <c r="E466" s="71">
        <f>IF(AND(Pay_Num&lt;&gt;"",Sched_Pay+Scheduled_Extra_Payments&lt;Beg_Bal),Scheduled_Extra_Payments,IF(AND(Pay_Num&lt;&gt;"",Beg_Bal-Sched_Pay&gt;0),Beg_Bal-Sched_Pay,IF(Pay_Num&lt;&gt;"",0,"")))</f>
        <v>0</v>
      </c>
      <c r="F466" s="70">
        <f>IF(AND(Pay_Num&lt;&gt;"",Sched_Pay+Extra_Pay&lt;Beg_Bal),Sched_Pay+Extra_Pay,IF(Pay_Num&lt;&gt;"",Beg_Bal,""))</f>
        <v>0</v>
      </c>
      <c r="G466" s="70">
        <f>IF(Pay_Num&lt;&gt;"",Total_Pay-Int,"")</f>
        <v>0</v>
      </c>
      <c r="H466" s="70">
        <f>IF(Pay_Num&lt;&gt;"",Beg_Bal*Interest_Rate/Num_Pmt_Per_Year,"")</f>
        <v>0</v>
      </c>
      <c r="I466" s="70">
        <f>IF(AND(Pay_Num&lt;&gt;"",Sched_Pay+Extra_Pay&lt;Beg_Bal),Beg_Bal-Princ,IF(Pay_Num&lt;&gt;"",0,""))</f>
        <v>0</v>
      </c>
      <c r="J466" s="70">
        <f>SUM($H$18:$H466)</f>
        <v>8041.5444282238004</v>
      </c>
    </row>
    <row r="467" spans="1:10" x14ac:dyDescent="0.3">
      <c r="A467" s="36">
        <f>IF(Values_Entered,A466+1,"")</f>
        <v>450</v>
      </c>
      <c r="B467" s="35">
        <f>IF(Pay_Num&lt;&gt;"",DATE(YEAR(Loan_Start),MONTH(Loan_Start)+(Pay_Num)*12/Num_Pmt_Per_Year,DAY(Loan_Start)),"")</f>
        <v>59080</v>
      </c>
      <c r="C467" s="70">
        <f>IF(Pay_Num&lt;&gt;"",I466,"")</f>
        <v>0</v>
      </c>
      <c r="D467" s="70">
        <f>IF(Pay_Num&lt;&gt;"",Scheduled_Monthly_Payment,"")</f>
        <v>2418.3976845093252</v>
      </c>
      <c r="E467" s="71">
        <f>IF(AND(Pay_Num&lt;&gt;"",Sched_Pay+Scheduled_Extra_Payments&lt;Beg_Bal),Scheduled_Extra_Payments,IF(AND(Pay_Num&lt;&gt;"",Beg_Bal-Sched_Pay&gt;0),Beg_Bal-Sched_Pay,IF(Pay_Num&lt;&gt;"",0,"")))</f>
        <v>0</v>
      </c>
      <c r="F467" s="70">
        <f>IF(AND(Pay_Num&lt;&gt;"",Sched_Pay+Extra_Pay&lt;Beg_Bal),Sched_Pay+Extra_Pay,IF(Pay_Num&lt;&gt;"",Beg_Bal,""))</f>
        <v>0</v>
      </c>
      <c r="G467" s="70">
        <f>IF(Pay_Num&lt;&gt;"",Total_Pay-Int,"")</f>
        <v>0</v>
      </c>
      <c r="H467" s="70">
        <f>IF(Pay_Num&lt;&gt;"",Beg_Bal*Interest_Rate/Num_Pmt_Per_Year,"")</f>
        <v>0</v>
      </c>
      <c r="I467" s="70">
        <f>IF(AND(Pay_Num&lt;&gt;"",Sched_Pay+Extra_Pay&lt;Beg_Bal),Beg_Bal-Princ,IF(Pay_Num&lt;&gt;"",0,""))</f>
        <v>0</v>
      </c>
      <c r="J467" s="70">
        <f>SUM($H$18:$H467)</f>
        <v>8041.5444282238004</v>
      </c>
    </row>
    <row r="468" spans="1:10" x14ac:dyDescent="0.3">
      <c r="A468" s="36">
        <f>IF(Values_Entered,A467+1,"")</f>
        <v>451</v>
      </c>
      <c r="B468" s="35">
        <f>IF(Pay_Num&lt;&gt;"",DATE(YEAR(Loan_Start),MONTH(Loan_Start)+(Pay_Num)*12/Num_Pmt_Per_Year,DAY(Loan_Start)),"")</f>
        <v>59111</v>
      </c>
      <c r="C468" s="70">
        <f>IF(Pay_Num&lt;&gt;"",I467,"")</f>
        <v>0</v>
      </c>
      <c r="D468" s="70">
        <f>IF(Pay_Num&lt;&gt;"",Scheduled_Monthly_Payment,"")</f>
        <v>2418.3976845093252</v>
      </c>
      <c r="E468" s="71">
        <f>IF(AND(Pay_Num&lt;&gt;"",Sched_Pay+Scheduled_Extra_Payments&lt;Beg_Bal),Scheduled_Extra_Payments,IF(AND(Pay_Num&lt;&gt;"",Beg_Bal-Sched_Pay&gt;0),Beg_Bal-Sched_Pay,IF(Pay_Num&lt;&gt;"",0,"")))</f>
        <v>0</v>
      </c>
      <c r="F468" s="70">
        <f>IF(AND(Pay_Num&lt;&gt;"",Sched_Pay+Extra_Pay&lt;Beg_Bal),Sched_Pay+Extra_Pay,IF(Pay_Num&lt;&gt;"",Beg_Bal,""))</f>
        <v>0</v>
      </c>
      <c r="G468" s="70">
        <f>IF(Pay_Num&lt;&gt;"",Total_Pay-Int,"")</f>
        <v>0</v>
      </c>
      <c r="H468" s="70">
        <f>IF(Pay_Num&lt;&gt;"",Beg_Bal*Interest_Rate/Num_Pmt_Per_Year,"")</f>
        <v>0</v>
      </c>
      <c r="I468" s="70">
        <f>IF(AND(Pay_Num&lt;&gt;"",Sched_Pay+Extra_Pay&lt;Beg_Bal),Beg_Bal-Princ,IF(Pay_Num&lt;&gt;"",0,""))</f>
        <v>0</v>
      </c>
      <c r="J468" s="70">
        <f>SUM($H$18:$H468)</f>
        <v>8041.5444282238004</v>
      </c>
    </row>
    <row r="469" spans="1:10" x14ac:dyDescent="0.3">
      <c r="A469" s="36">
        <f>IF(Values_Entered,A468+1,"")</f>
        <v>452</v>
      </c>
      <c r="B469" s="35">
        <f>IF(Pay_Num&lt;&gt;"",DATE(YEAR(Loan_Start),MONTH(Loan_Start)+(Pay_Num)*12/Num_Pmt_Per_Year,DAY(Loan_Start)),"")</f>
        <v>59141</v>
      </c>
      <c r="C469" s="70">
        <f>IF(Pay_Num&lt;&gt;"",I468,"")</f>
        <v>0</v>
      </c>
      <c r="D469" s="70">
        <f>IF(Pay_Num&lt;&gt;"",Scheduled_Monthly_Payment,"")</f>
        <v>2418.3976845093252</v>
      </c>
      <c r="E469" s="71">
        <f>IF(AND(Pay_Num&lt;&gt;"",Sched_Pay+Scheduled_Extra_Payments&lt;Beg_Bal),Scheduled_Extra_Payments,IF(AND(Pay_Num&lt;&gt;"",Beg_Bal-Sched_Pay&gt;0),Beg_Bal-Sched_Pay,IF(Pay_Num&lt;&gt;"",0,"")))</f>
        <v>0</v>
      </c>
      <c r="F469" s="70">
        <f>IF(AND(Pay_Num&lt;&gt;"",Sched_Pay+Extra_Pay&lt;Beg_Bal),Sched_Pay+Extra_Pay,IF(Pay_Num&lt;&gt;"",Beg_Bal,""))</f>
        <v>0</v>
      </c>
      <c r="G469" s="70">
        <f>IF(Pay_Num&lt;&gt;"",Total_Pay-Int,"")</f>
        <v>0</v>
      </c>
      <c r="H469" s="70">
        <f>IF(Pay_Num&lt;&gt;"",Beg_Bal*Interest_Rate/Num_Pmt_Per_Year,"")</f>
        <v>0</v>
      </c>
      <c r="I469" s="70">
        <f>IF(AND(Pay_Num&lt;&gt;"",Sched_Pay+Extra_Pay&lt;Beg_Bal),Beg_Bal-Princ,IF(Pay_Num&lt;&gt;"",0,""))</f>
        <v>0</v>
      </c>
      <c r="J469" s="70">
        <f>SUM($H$18:$H469)</f>
        <v>8041.5444282238004</v>
      </c>
    </row>
    <row r="470" spans="1:10" x14ac:dyDescent="0.3">
      <c r="A470" s="36">
        <f>IF(Values_Entered,A469+1,"")</f>
        <v>453</v>
      </c>
      <c r="B470" s="35">
        <f>IF(Pay_Num&lt;&gt;"",DATE(YEAR(Loan_Start),MONTH(Loan_Start)+(Pay_Num)*12/Num_Pmt_Per_Year,DAY(Loan_Start)),"")</f>
        <v>59172</v>
      </c>
      <c r="C470" s="70">
        <f>IF(Pay_Num&lt;&gt;"",I469,"")</f>
        <v>0</v>
      </c>
      <c r="D470" s="70">
        <f>IF(Pay_Num&lt;&gt;"",Scheduled_Monthly_Payment,"")</f>
        <v>2418.3976845093252</v>
      </c>
      <c r="E470" s="71">
        <f>IF(AND(Pay_Num&lt;&gt;"",Sched_Pay+Scheduled_Extra_Payments&lt;Beg_Bal),Scheduled_Extra_Payments,IF(AND(Pay_Num&lt;&gt;"",Beg_Bal-Sched_Pay&gt;0),Beg_Bal-Sched_Pay,IF(Pay_Num&lt;&gt;"",0,"")))</f>
        <v>0</v>
      </c>
      <c r="F470" s="70">
        <f>IF(AND(Pay_Num&lt;&gt;"",Sched_Pay+Extra_Pay&lt;Beg_Bal),Sched_Pay+Extra_Pay,IF(Pay_Num&lt;&gt;"",Beg_Bal,""))</f>
        <v>0</v>
      </c>
      <c r="G470" s="70">
        <f>IF(Pay_Num&lt;&gt;"",Total_Pay-Int,"")</f>
        <v>0</v>
      </c>
      <c r="H470" s="70">
        <f>IF(Pay_Num&lt;&gt;"",Beg_Bal*Interest_Rate/Num_Pmt_Per_Year,"")</f>
        <v>0</v>
      </c>
      <c r="I470" s="70">
        <f>IF(AND(Pay_Num&lt;&gt;"",Sched_Pay+Extra_Pay&lt;Beg_Bal),Beg_Bal-Princ,IF(Pay_Num&lt;&gt;"",0,""))</f>
        <v>0</v>
      </c>
      <c r="J470" s="70">
        <f>SUM($H$18:$H470)</f>
        <v>8041.5444282238004</v>
      </c>
    </row>
    <row r="471" spans="1:10" x14ac:dyDescent="0.3">
      <c r="A471" s="36">
        <f>IF(Values_Entered,A470+1,"")</f>
        <v>454</v>
      </c>
      <c r="B471" s="35">
        <f>IF(Pay_Num&lt;&gt;"",DATE(YEAR(Loan_Start),MONTH(Loan_Start)+(Pay_Num)*12/Num_Pmt_Per_Year,DAY(Loan_Start)),"")</f>
        <v>59203</v>
      </c>
      <c r="C471" s="70">
        <f>IF(Pay_Num&lt;&gt;"",I470,"")</f>
        <v>0</v>
      </c>
      <c r="D471" s="70">
        <f>IF(Pay_Num&lt;&gt;"",Scheduled_Monthly_Payment,"")</f>
        <v>2418.3976845093252</v>
      </c>
      <c r="E471" s="71">
        <f>IF(AND(Pay_Num&lt;&gt;"",Sched_Pay+Scheduled_Extra_Payments&lt;Beg_Bal),Scheduled_Extra_Payments,IF(AND(Pay_Num&lt;&gt;"",Beg_Bal-Sched_Pay&gt;0),Beg_Bal-Sched_Pay,IF(Pay_Num&lt;&gt;"",0,"")))</f>
        <v>0</v>
      </c>
      <c r="F471" s="70">
        <f>IF(AND(Pay_Num&lt;&gt;"",Sched_Pay+Extra_Pay&lt;Beg_Bal),Sched_Pay+Extra_Pay,IF(Pay_Num&lt;&gt;"",Beg_Bal,""))</f>
        <v>0</v>
      </c>
      <c r="G471" s="70">
        <f>IF(Pay_Num&lt;&gt;"",Total_Pay-Int,"")</f>
        <v>0</v>
      </c>
      <c r="H471" s="70">
        <f>IF(Pay_Num&lt;&gt;"",Beg_Bal*Interest_Rate/Num_Pmt_Per_Year,"")</f>
        <v>0</v>
      </c>
      <c r="I471" s="70">
        <f>IF(AND(Pay_Num&lt;&gt;"",Sched_Pay+Extra_Pay&lt;Beg_Bal),Beg_Bal-Princ,IF(Pay_Num&lt;&gt;"",0,""))</f>
        <v>0</v>
      </c>
      <c r="J471" s="70">
        <f>SUM($H$18:$H471)</f>
        <v>8041.5444282238004</v>
      </c>
    </row>
    <row r="472" spans="1:10" x14ac:dyDescent="0.3">
      <c r="A472" s="36">
        <f>IF(Values_Entered,A471+1,"")</f>
        <v>455</v>
      </c>
      <c r="B472" s="35">
        <f>IF(Pay_Num&lt;&gt;"",DATE(YEAR(Loan_Start),MONTH(Loan_Start)+(Pay_Num)*12/Num_Pmt_Per_Year,DAY(Loan_Start)),"")</f>
        <v>59231</v>
      </c>
      <c r="C472" s="70">
        <f>IF(Pay_Num&lt;&gt;"",I471,"")</f>
        <v>0</v>
      </c>
      <c r="D472" s="70">
        <f>IF(Pay_Num&lt;&gt;"",Scheduled_Monthly_Payment,"")</f>
        <v>2418.3976845093252</v>
      </c>
      <c r="E472" s="71">
        <f>IF(AND(Pay_Num&lt;&gt;"",Sched_Pay+Scheduled_Extra_Payments&lt;Beg_Bal),Scheduled_Extra_Payments,IF(AND(Pay_Num&lt;&gt;"",Beg_Bal-Sched_Pay&gt;0),Beg_Bal-Sched_Pay,IF(Pay_Num&lt;&gt;"",0,"")))</f>
        <v>0</v>
      </c>
      <c r="F472" s="70">
        <f>IF(AND(Pay_Num&lt;&gt;"",Sched_Pay+Extra_Pay&lt;Beg_Bal),Sched_Pay+Extra_Pay,IF(Pay_Num&lt;&gt;"",Beg_Bal,""))</f>
        <v>0</v>
      </c>
      <c r="G472" s="70">
        <f>IF(Pay_Num&lt;&gt;"",Total_Pay-Int,"")</f>
        <v>0</v>
      </c>
      <c r="H472" s="70">
        <f>IF(Pay_Num&lt;&gt;"",Beg_Bal*Interest_Rate/Num_Pmt_Per_Year,"")</f>
        <v>0</v>
      </c>
      <c r="I472" s="70">
        <f>IF(AND(Pay_Num&lt;&gt;"",Sched_Pay+Extra_Pay&lt;Beg_Bal),Beg_Bal-Princ,IF(Pay_Num&lt;&gt;"",0,""))</f>
        <v>0</v>
      </c>
      <c r="J472" s="70">
        <f>SUM($H$18:$H472)</f>
        <v>8041.5444282238004</v>
      </c>
    </row>
    <row r="473" spans="1:10" x14ac:dyDescent="0.3">
      <c r="A473" s="36">
        <f>IF(Values_Entered,A472+1,"")</f>
        <v>456</v>
      </c>
      <c r="B473" s="35">
        <f>IF(Pay_Num&lt;&gt;"",DATE(YEAR(Loan_Start),MONTH(Loan_Start)+(Pay_Num)*12/Num_Pmt_Per_Year,DAY(Loan_Start)),"")</f>
        <v>59262</v>
      </c>
      <c r="C473" s="70">
        <f>IF(Pay_Num&lt;&gt;"",I472,"")</f>
        <v>0</v>
      </c>
      <c r="D473" s="70">
        <f>IF(Pay_Num&lt;&gt;"",Scheduled_Monthly_Payment,"")</f>
        <v>2418.3976845093252</v>
      </c>
      <c r="E473" s="71">
        <f>IF(AND(Pay_Num&lt;&gt;"",Sched_Pay+Scheduled_Extra_Payments&lt;Beg_Bal),Scheduled_Extra_Payments,IF(AND(Pay_Num&lt;&gt;"",Beg_Bal-Sched_Pay&gt;0),Beg_Bal-Sched_Pay,IF(Pay_Num&lt;&gt;"",0,"")))</f>
        <v>0</v>
      </c>
      <c r="F473" s="70">
        <f>IF(AND(Pay_Num&lt;&gt;"",Sched_Pay+Extra_Pay&lt;Beg_Bal),Sched_Pay+Extra_Pay,IF(Pay_Num&lt;&gt;"",Beg_Bal,""))</f>
        <v>0</v>
      </c>
      <c r="G473" s="70">
        <f>IF(Pay_Num&lt;&gt;"",Total_Pay-Int,"")</f>
        <v>0</v>
      </c>
      <c r="H473" s="70">
        <f>IF(Pay_Num&lt;&gt;"",Beg_Bal*Interest_Rate/Num_Pmt_Per_Year,"")</f>
        <v>0</v>
      </c>
      <c r="I473" s="70">
        <f>IF(AND(Pay_Num&lt;&gt;"",Sched_Pay+Extra_Pay&lt;Beg_Bal),Beg_Bal-Princ,IF(Pay_Num&lt;&gt;"",0,""))</f>
        <v>0</v>
      </c>
      <c r="J473" s="70">
        <f>SUM($H$18:$H473)</f>
        <v>8041.5444282238004</v>
      </c>
    </row>
    <row r="474" spans="1:10" x14ac:dyDescent="0.3">
      <c r="A474" s="36">
        <f>IF(Values_Entered,A473+1,"")</f>
        <v>457</v>
      </c>
      <c r="B474" s="35">
        <f>IF(Pay_Num&lt;&gt;"",DATE(YEAR(Loan_Start),MONTH(Loan_Start)+(Pay_Num)*12/Num_Pmt_Per_Year,DAY(Loan_Start)),"")</f>
        <v>59292</v>
      </c>
      <c r="C474" s="70">
        <f>IF(Pay_Num&lt;&gt;"",I473,"")</f>
        <v>0</v>
      </c>
      <c r="D474" s="70">
        <f>IF(Pay_Num&lt;&gt;"",Scheduled_Monthly_Payment,"")</f>
        <v>2418.3976845093252</v>
      </c>
      <c r="E474" s="71">
        <f>IF(AND(Pay_Num&lt;&gt;"",Sched_Pay+Scheduled_Extra_Payments&lt;Beg_Bal),Scheduled_Extra_Payments,IF(AND(Pay_Num&lt;&gt;"",Beg_Bal-Sched_Pay&gt;0),Beg_Bal-Sched_Pay,IF(Pay_Num&lt;&gt;"",0,"")))</f>
        <v>0</v>
      </c>
      <c r="F474" s="70">
        <f>IF(AND(Pay_Num&lt;&gt;"",Sched_Pay+Extra_Pay&lt;Beg_Bal),Sched_Pay+Extra_Pay,IF(Pay_Num&lt;&gt;"",Beg_Bal,""))</f>
        <v>0</v>
      </c>
      <c r="G474" s="70">
        <f>IF(Pay_Num&lt;&gt;"",Total_Pay-Int,"")</f>
        <v>0</v>
      </c>
      <c r="H474" s="70">
        <f>IF(Pay_Num&lt;&gt;"",Beg_Bal*Interest_Rate/Num_Pmt_Per_Year,"")</f>
        <v>0</v>
      </c>
      <c r="I474" s="70">
        <f>IF(AND(Pay_Num&lt;&gt;"",Sched_Pay+Extra_Pay&lt;Beg_Bal),Beg_Bal-Princ,IF(Pay_Num&lt;&gt;"",0,""))</f>
        <v>0</v>
      </c>
      <c r="J474" s="70">
        <f>SUM($H$18:$H474)</f>
        <v>8041.5444282238004</v>
      </c>
    </row>
    <row r="475" spans="1:10" x14ac:dyDescent="0.3">
      <c r="A475" s="36">
        <f>IF(Values_Entered,A474+1,"")</f>
        <v>458</v>
      </c>
      <c r="B475" s="35">
        <f>IF(Pay_Num&lt;&gt;"",DATE(YEAR(Loan_Start),MONTH(Loan_Start)+(Pay_Num)*12/Num_Pmt_Per_Year,DAY(Loan_Start)),"")</f>
        <v>59323</v>
      </c>
      <c r="C475" s="70">
        <f>IF(Pay_Num&lt;&gt;"",I474,"")</f>
        <v>0</v>
      </c>
      <c r="D475" s="70">
        <f>IF(Pay_Num&lt;&gt;"",Scheduled_Monthly_Payment,"")</f>
        <v>2418.3976845093252</v>
      </c>
      <c r="E475" s="71">
        <f>IF(AND(Pay_Num&lt;&gt;"",Sched_Pay+Scheduled_Extra_Payments&lt;Beg_Bal),Scheduled_Extra_Payments,IF(AND(Pay_Num&lt;&gt;"",Beg_Bal-Sched_Pay&gt;0),Beg_Bal-Sched_Pay,IF(Pay_Num&lt;&gt;"",0,"")))</f>
        <v>0</v>
      </c>
      <c r="F475" s="70">
        <f>IF(AND(Pay_Num&lt;&gt;"",Sched_Pay+Extra_Pay&lt;Beg_Bal),Sched_Pay+Extra_Pay,IF(Pay_Num&lt;&gt;"",Beg_Bal,""))</f>
        <v>0</v>
      </c>
      <c r="G475" s="70">
        <f>IF(Pay_Num&lt;&gt;"",Total_Pay-Int,"")</f>
        <v>0</v>
      </c>
      <c r="H475" s="70">
        <f>IF(Pay_Num&lt;&gt;"",Beg_Bal*Interest_Rate/Num_Pmt_Per_Year,"")</f>
        <v>0</v>
      </c>
      <c r="I475" s="70">
        <f>IF(AND(Pay_Num&lt;&gt;"",Sched_Pay+Extra_Pay&lt;Beg_Bal),Beg_Bal-Princ,IF(Pay_Num&lt;&gt;"",0,""))</f>
        <v>0</v>
      </c>
      <c r="J475" s="70">
        <f>SUM($H$18:$H475)</f>
        <v>8041.5444282238004</v>
      </c>
    </row>
    <row r="476" spans="1:10" x14ac:dyDescent="0.3">
      <c r="A476" s="36">
        <f>IF(Values_Entered,A475+1,"")</f>
        <v>459</v>
      </c>
      <c r="B476" s="35">
        <f>IF(Pay_Num&lt;&gt;"",DATE(YEAR(Loan_Start),MONTH(Loan_Start)+(Pay_Num)*12/Num_Pmt_Per_Year,DAY(Loan_Start)),"")</f>
        <v>59353</v>
      </c>
      <c r="C476" s="70">
        <f>IF(Pay_Num&lt;&gt;"",I475,"")</f>
        <v>0</v>
      </c>
      <c r="D476" s="70">
        <f>IF(Pay_Num&lt;&gt;"",Scheduled_Monthly_Payment,"")</f>
        <v>2418.3976845093252</v>
      </c>
      <c r="E476" s="71">
        <f>IF(AND(Pay_Num&lt;&gt;"",Sched_Pay+Scheduled_Extra_Payments&lt;Beg_Bal),Scheduled_Extra_Payments,IF(AND(Pay_Num&lt;&gt;"",Beg_Bal-Sched_Pay&gt;0),Beg_Bal-Sched_Pay,IF(Pay_Num&lt;&gt;"",0,"")))</f>
        <v>0</v>
      </c>
      <c r="F476" s="70">
        <f>IF(AND(Pay_Num&lt;&gt;"",Sched_Pay+Extra_Pay&lt;Beg_Bal),Sched_Pay+Extra_Pay,IF(Pay_Num&lt;&gt;"",Beg_Bal,""))</f>
        <v>0</v>
      </c>
      <c r="G476" s="70">
        <f>IF(Pay_Num&lt;&gt;"",Total_Pay-Int,"")</f>
        <v>0</v>
      </c>
      <c r="H476" s="70">
        <f>IF(Pay_Num&lt;&gt;"",Beg_Bal*Interest_Rate/Num_Pmt_Per_Year,"")</f>
        <v>0</v>
      </c>
      <c r="I476" s="70">
        <f>IF(AND(Pay_Num&lt;&gt;"",Sched_Pay+Extra_Pay&lt;Beg_Bal),Beg_Bal-Princ,IF(Pay_Num&lt;&gt;"",0,""))</f>
        <v>0</v>
      </c>
      <c r="J476" s="70">
        <f>SUM($H$18:$H476)</f>
        <v>8041.5444282238004</v>
      </c>
    </row>
    <row r="477" spans="1:10" x14ac:dyDescent="0.3">
      <c r="A477" s="36">
        <f>IF(Values_Entered,A476+1,"")</f>
        <v>460</v>
      </c>
      <c r="B477" s="35">
        <f>IF(Pay_Num&lt;&gt;"",DATE(YEAR(Loan_Start),MONTH(Loan_Start)+(Pay_Num)*12/Num_Pmt_Per_Year,DAY(Loan_Start)),"")</f>
        <v>59384</v>
      </c>
      <c r="C477" s="70">
        <f>IF(Pay_Num&lt;&gt;"",I476,"")</f>
        <v>0</v>
      </c>
      <c r="D477" s="70">
        <f>IF(Pay_Num&lt;&gt;"",Scheduled_Monthly_Payment,"")</f>
        <v>2418.3976845093252</v>
      </c>
      <c r="E477" s="71">
        <f>IF(AND(Pay_Num&lt;&gt;"",Sched_Pay+Scheduled_Extra_Payments&lt;Beg_Bal),Scheduled_Extra_Payments,IF(AND(Pay_Num&lt;&gt;"",Beg_Bal-Sched_Pay&gt;0),Beg_Bal-Sched_Pay,IF(Pay_Num&lt;&gt;"",0,"")))</f>
        <v>0</v>
      </c>
      <c r="F477" s="70">
        <f>IF(AND(Pay_Num&lt;&gt;"",Sched_Pay+Extra_Pay&lt;Beg_Bal),Sched_Pay+Extra_Pay,IF(Pay_Num&lt;&gt;"",Beg_Bal,""))</f>
        <v>0</v>
      </c>
      <c r="G477" s="70">
        <f>IF(Pay_Num&lt;&gt;"",Total_Pay-Int,"")</f>
        <v>0</v>
      </c>
      <c r="H477" s="70">
        <f>IF(Pay_Num&lt;&gt;"",Beg_Bal*Interest_Rate/Num_Pmt_Per_Year,"")</f>
        <v>0</v>
      </c>
      <c r="I477" s="70">
        <f>IF(AND(Pay_Num&lt;&gt;"",Sched_Pay+Extra_Pay&lt;Beg_Bal),Beg_Bal-Princ,IF(Pay_Num&lt;&gt;"",0,""))</f>
        <v>0</v>
      </c>
      <c r="J477" s="70">
        <f>SUM($H$18:$H477)</f>
        <v>8041.5444282238004</v>
      </c>
    </row>
    <row r="478" spans="1:10" x14ac:dyDescent="0.3">
      <c r="A478" s="36">
        <f>IF(Values_Entered,A477+1,"")</f>
        <v>461</v>
      </c>
      <c r="B478" s="35">
        <f>IF(Pay_Num&lt;&gt;"",DATE(YEAR(Loan_Start),MONTH(Loan_Start)+(Pay_Num)*12/Num_Pmt_Per_Year,DAY(Loan_Start)),"")</f>
        <v>59415</v>
      </c>
      <c r="C478" s="70">
        <f>IF(Pay_Num&lt;&gt;"",I477,"")</f>
        <v>0</v>
      </c>
      <c r="D478" s="70">
        <f>IF(Pay_Num&lt;&gt;"",Scheduled_Monthly_Payment,"")</f>
        <v>2418.3976845093252</v>
      </c>
      <c r="E478" s="71">
        <f>IF(AND(Pay_Num&lt;&gt;"",Sched_Pay+Scheduled_Extra_Payments&lt;Beg_Bal),Scheduled_Extra_Payments,IF(AND(Pay_Num&lt;&gt;"",Beg_Bal-Sched_Pay&gt;0),Beg_Bal-Sched_Pay,IF(Pay_Num&lt;&gt;"",0,"")))</f>
        <v>0</v>
      </c>
      <c r="F478" s="70">
        <f>IF(AND(Pay_Num&lt;&gt;"",Sched_Pay+Extra_Pay&lt;Beg_Bal),Sched_Pay+Extra_Pay,IF(Pay_Num&lt;&gt;"",Beg_Bal,""))</f>
        <v>0</v>
      </c>
      <c r="G478" s="70">
        <f>IF(Pay_Num&lt;&gt;"",Total_Pay-Int,"")</f>
        <v>0</v>
      </c>
      <c r="H478" s="70">
        <f>IF(Pay_Num&lt;&gt;"",Beg_Bal*Interest_Rate/Num_Pmt_Per_Year,"")</f>
        <v>0</v>
      </c>
      <c r="I478" s="70">
        <f>IF(AND(Pay_Num&lt;&gt;"",Sched_Pay+Extra_Pay&lt;Beg_Bal),Beg_Bal-Princ,IF(Pay_Num&lt;&gt;"",0,""))</f>
        <v>0</v>
      </c>
      <c r="J478" s="70">
        <f>SUM($H$18:$H478)</f>
        <v>8041.5444282238004</v>
      </c>
    </row>
    <row r="479" spans="1:10" x14ac:dyDescent="0.3">
      <c r="A479" s="36">
        <f>IF(Values_Entered,A478+1,"")</f>
        <v>462</v>
      </c>
      <c r="B479" s="35">
        <f>IF(Pay_Num&lt;&gt;"",DATE(YEAR(Loan_Start),MONTH(Loan_Start)+(Pay_Num)*12/Num_Pmt_Per_Year,DAY(Loan_Start)),"")</f>
        <v>59445</v>
      </c>
      <c r="C479" s="70">
        <f>IF(Pay_Num&lt;&gt;"",I478,"")</f>
        <v>0</v>
      </c>
      <c r="D479" s="70">
        <f>IF(Pay_Num&lt;&gt;"",Scheduled_Monthly_Payment,"")</f>
        <v>2418.3976845093252</v>
      </c>
      <c r="E479" s="71">
        <f>IF(AND(Pay_Num&lt;&gt;"",Sched_Pay+Scheduled_Extra_Payments&lt;Beg_Bal),Scheduled_Extra_Payments,IF(AND(Pay_Num&lt;&gt;"",Beg_Bal-Sched_Pay&gt;0),Beg_Bal-Sched_Pay,IF(Pay_Num&lt;&gt;"",0,"")))</f>
        <v>0</v>
      </c>
      <c r="F479" s="70">
        <f>IF(AND(Pay_Num&lt;&gt;"",Sched_Pay+Extra_Pay&lt;Beg_Bal),Sched_Pay+Extra_Pay,IF(Pay_Num&lt;&gt;"",Beg_Bal,""))</f>
        <v>0</v>
      </c>
      <c r="G479" s="70">
        <f>IF(Pay_Num&lt;&gt;"",Total_Pay-Int,"")</f>
        <v>0</v>
      </c>
      <c r="H479" s="70">
        <f>IF(Pay_Num&lt;&gt;"",Beg_Bal*Interest_Rate/Num_Pmt_Per_Year,"")</f>
        <v>0</v>
      </c>
      <c r="I479" s="70">
        <f>IF(AND(Pay_Num&lt;&gt;"",Sched_Pay+Extra_Pay&lt;Beg_Bal),Beg_Bal-Princ,IF(Pay_Num&lt;&gt;"",0,""))</f>
        <v>0</v>
      </c>
      <c r="J479" s="70">
        <f>SUM($H$18:$H479)</f>
        <v>8041.5444282238004</v>
      </c>
    </row>
    <row r="480" spans="1:10" x14ac:dyDescent="0.3">
      <c r="A480" s="36">
        <f>IF(Values_Entered,A479+1,"")</f>
        <v>463</v>
      </c>
      <c r="B480" s="35">
        <f>IF(Pay_Num&lt;&gt;"",DATE(YEAR(Loan_Start),MONTH(Loan_Start)+(Pay_Num)*12/Num_Pmt_Per_Year,DAY(Loan_Start)),"")</f>
        <v>59476</v>
      </c>
      <c r="C480" s="70">
        <f>IF(Pay_Num&lt;&gt;"",I479,"")</f>
        <v>0</v>
      </c>
      <c r="D480" s="70">
        <f>IF(Pay_Num&lt;&gt;"",Scheduled_Monthly_Payment,"")</f>
        <v>2418.3976845093252</v>
      </c>
      <c r="E480" s="71">
        <f>IF(AND(Pay_Num&lt;&gt;"",Sched_Pay+Scheduled_Extra_Payments&lt;Beg_Bal),Scheduled_Extra_Payments,IF(AND(Pay_Num&lt;&gt;"",Beg_Bal-Sched_Pay&gt;0),Beg_Bal-Sched_Pay,IF(Pay_Num&lt;&gt;"",0,"")))</f>
        <v>0</v>
      </c>
      <c r="F480" s="70">
        <f>IF(AND(Pay_Num&lt;&gt;"",Sched_Pay+Extra_Pay&lt;Beg_Bal),Sched_Pay+Extra_Pay,IF(Pay_Num&lt;&gt;"",Beg_Bal,""))</f>
        <v>0</v>
      </c>
      <c r="G480" s="70">
        <f>IF(Pay_Num&lt;&gt;"",Total_Pay-Int,"")</f>
        <v>0</v>
      </c>
      <c r="H480" s="70">
        <f>IF(Pay_Num&lt;&gt;"",Beg_Bal*Interest_Rate/Num_Pmt_Per_Year,"")</f>
        <v>0</v>
      </c>
      <c r="I480" s="70">
        <f>IF(AND(Pay_Num&lt;&gt;"",Sched_Pay+Extra_Pay&lt;Beg_Bal),Beg_Bal-Princ,IF(Pay_Num&lt;&gt;"",0,""))</f>
        <v>0</v>
      </c>
      <c r="J480" s="70">
        <f>SUM($H$18:$H480)</f>
        <v>8041.5444282238004</v>
      </c>
    </row>
    <row r="481" spans="1:10" x14ac:dyDescent="0.3">
      <c r="A481" s="36">
        <f>IF(Values_Entered,A480+1,"")</f>
        <v>464</v>
      </c>
      <c r="B481" s="35">
        <f>IF(Pay_Num&lt;&gt;"",DATE(YEAR(Loan_Start),MONTH(Loan_Start)+(Pay_Num)*12/Num_Pmt_Per_Year,DAY(Loan_Start)),"")</f>
        <v>59506</v>
      </c>
      <c r="C481" s="70">
        <f>IF(Pay_Num&lt;&gt;"",I480,"")</f>
        <v>0</v>
      </c>
      <c r="D481" s="70">
        <f>IF(Pay_Num&lt;&gt;"",Scheduled_Monthly_Payment,"")</f>
        <v>2418.3976845093252</v>
      </c>
      <c r="E481" s="71">
        <f>IF(AND(Pay_Num&lt;&gt;"",Sched_Pay+Scheduled_Extra_Payments&lt;Beg_Bal),Scheduled_Extra_Payments,IF(AND(Pay_Num&lt;&gt;"",Beg_Bal-Sched_Pay&gt;0),Beg_Bal-Sched_Pay,IF(Pay_Num&lt;&gt;"",0,"")))</f>
        <v>0</v>
      </c>
      <c r="F481" s="70">
        <f>IF(AND(Pay_Num&lt;&gt;"",Sched_Pay+Extra_Pay&lt;Beg_Bal),Sched_Pay+Extra_Pay,IF(Pay_Num&lt;&gt;"",Beg_Bal,""))</f>
        <v>0</v>
      </c>
      <c r="G481" s="70">
        <f>IF(Pay_Num&lt;&gt;"",Total_Pay-Int,"")</f>
        <v>0</v>
      </c>
      <c r="H481" s="70">
        <f>IF(Pay_Num&lt;&gt;"",Beg_Bal*Interest_Rate/Num_Pmt_Per_Year,"")</f>
        <v>0</v>
      </c>
      <c r="I481" s="70">
        <f>IF(AND(Pay_Num&lt;&gt;"",Sched_Pay+Extra_Pay&lt;Beg_Bal),Beg_Bal-Princ,IF(Pay_Num&lt;&gt;"",0,""))</f>
        <v>0</v>
      </c>
      <c r="J481" s="70">
        <f>SUM($H$18:$H481)</f>
        <v>8041.5444282238004</v>
      </c>
    </row>
    <row r="482" spans="1:10" x14ac:dyDescent="0.3">
      <c r="A482" s="36">
        <f>IF(Values_Entered,A481+1,"")</f>
        <v>465</v>
      </c>
      <c r="B482" s="35">
        <f>IF(Pay_Num&lt;&gt;"",DATE(YEAR(Loan_Start),MONTH(Loan_Start)+(Pay_Num)*12/Num_Pmt_Per_Year,DAY(Loan_Start)),"")</f>
        <v>59537</v>
      </c>
      <c r="C482" s="70">
        <f>IF(Pay_Num&lt;&gt;"",I481,"")</f>
        <v>0</v>
      </c>
      <c r="D482" s="70">
        <f>IF(Pay_Num&lt;&gt;"",Scheduled_Monthly_Payment,"")</f>
        <v>2418.3976845093252</v>
      </c>
      <c r="E482" s="71">
        <f>IF(AND(Pay_Num&lt;&gt;"",Sched_Pay+Scheduled_Extra_Payments&lt;Beg_Bal),Scheduled_Extra_Payments,IF(AND(Pay_Num&lt;&gt;"",Beg_Bal-Sched_Pay&gt;0),Beg_Bal-Sched_Pay,IF(Pay_Num&lt;&gt;"",0,"")))</f>
        <v>0</v>
      </c>
      <c r="F482" s="70">
        <f>IF(AND(Pay_Num&lt;&gt;"",Sched_Pay+Extra_Pay&lt;Beg_Bal),Sched_Pay+Extra_Pay,IF(Pay_Num&lt;&gt;"",Beg_Bal,""))</f>
        <v>0</v>
      </c>
      <c r="G482" s="70">
        <f>IF(Pay_Num&lt;&gt;"",Total_Pay-Int,"")</f>
        <v>0</v>
      </c>
      <c r="H482" s="70">
        <f>IF(Pay_Num&lt;&gt;"",Beg_Bal*Interest_Rate/Num_Pmt_Per_Year,"")</f>
        <v>0</v>
      </c>
      <c r="I482" s="70">
        <f>IF(AND(Pay_Num&lt;&gt;"",Sched_Pay+Extra_Pay&lt;Beg_Bal),Beg_Bal-Princ,IF(Pay_Num&lt;&gt;"",0,""))</f>
        <v>0</v>
      </c>
      <c r="J482" s="70">
        <f>SUM($H$18:$H482)</f>
        <v>8041.5444282238004</v>
      </c>
    </row>
    <row r="483" spans="1:10" x14ac:dyDescent="0.3">
      <c r="A483" s="36">
        <f>IF(Values_Entered,A482+1,"")</f>
        <v>466</v>
      </c>
      <c r="B483" s="35">
        <f>IF(Pay_Num&lt;&gt;"",DATE(YEAR(Loan_Start),MONTH(Loan_Start)+(Pay_Num)*12/Num_Pmt_Per_Year,DAY(Loan_Start)),"")</f>
        <v>59568</v>
      </c>
      <c r="C483" s="70">
        <f>IF(Pay_Num&lt;&gt;"",I482,"")</f>
        <v>0</v>
      </c>
      <c r="D483" s="70">
        <f>IF(Pay_Num&lt;&gt;"",Scheduled_Monthly_Payment,"")</f>
        <v>2418.3976845093252</v>
      </c>
      <c r="E483" s="71">
        <f>IF(AND(Pay_Num&lt;&gt;"",Sched_Pay+Scheduled_Extra_Payments&lt;Beg_Bal),Scheduled_Extra_Payments,IF(AND(Pay_Num&lt;&gt;"",Beg_Bal-Sched_Pay&gt;0),Beg_Bal-Sched_Pay,IF(Pay_Num&lt;&gt;"",0,"")))</f>
        <v>0</v>
      </c>
      <c r="F483" s="70">
        <f>IF(AND(Pay_Num&lt;&gt;"",Sched_Pay+Extra_Pay&lt;Beg_Bal),Sched_Pay+Extra_Pay,IF(Pay_Num&lt;&gt;"",Beg_Bal,""))</f>
        <v>0</v>
      </c>
      <c r="G483" s="70">
        <f>IF(Pay_Num&lt;&gt;"",Total_Pay-Int,"")</f>
        <v>0</v>
      </c>
      <c r="H483" s="70">
        <f>IF(Pay_Num&lt;&gt;"",Beg_Bal*Interest_Rate/Num_Pmt_Per_Year,"")</f>
        <v>0</v>
      </c>
      <c r="I483" s="70">
        <f>IF(AND(Pay_Num&lt;&gt;"",Sched_Pay+Extra_Pay&lt;Beg_Bal),Beg_Bal-Princ,IF(Pay_Num&lt;&gt;"",0,""))</f>
        <v>0</v>
      </c>
      <c r="J483" s="70">
        <f>SUM($H$18:$H483)</f>
        <v>8041.5444282238004</v>
      </c>
    </row>
    <row r="484" spans="1:10" x14ac:dyDescent="0.3">
      <c r="A484" s="36">
        <f>IF(Values_Entered,A483+1,"")</f>
        <v>467</v>
      </c>
      <c r="B484" s="35">
        <f>IF(Pay_Num&lt;&gt;"",DATE(YEAR(Loan_Start),MONTH(Loan_Start)+(Pay_Num)*12/Num_Pmt_Per_Year,DAY(Loan_Start)),"")</f>
        <v>59596</v>
      </c>
      <c r="C484" s="70">
        <f>IF(Pay_Num&lt;&gt;"",I483,"")</f>
        <v>0</v>
      </c>
      <c r="D484" s="70">
        <f>IF(Pay_Num&lt;&gt;"",Scheduled_Monthly_Payment,"")</f>
        <v>2418.3976845093252</v>
      </c>
      <c r="E484" s="71">
        <f>IF(AND(Pay_Num&lt;&gt;"",Sched_Pay+Scheduled_Extra_Payments&lt;Beg_Bal),Scheduled_Extra_Payments,IF(AND(Pay_Num&lt;&gt;"",Beg_Bal-Sched_Pay&gt;0),Beg_Bal-Sched_Pay,IF(Pay_Num&lt;&gt;"",0,"")))</f>
        <v>0</v>
      </c>
      <c r="F484" s="70">
        <f>IF(AND(Pay_Num&lt;&gt;"",Sched_Pay+Extra_Pay&lt;Beg_Bal),Sched_Pay+Extra_Pay,IF(Pay_Num&lt;&gt;"",Beg_Bal,""))</f>
        <v>0</v>
      </c>
      <c r="G484" s="70">
        <f>IF(Pay_Num&lt;&gt;"",Total_Pay-Int,"")</f>
        <v>0</v>
      </c>
      <c r="H484" s="70">
        <f>IF(Pay_Num&lt;&gt;"",Beg_Bal*Interest_Rate/Num_Pmt_Per_Year,"")</f>
        <v>0</v>
      </c>
      <c r="I484" s="70">
        <f>IF(AND(Pay_Num&lt;&gt;"",Sched_Pay+Extra_Pay&lt;Beg_Bal),Beg_Bal-Princ,IF(Pay_Num&lt;&gt;"",0,""))</f>
        <v>0</v>
      </c>
      <c r="J484" s="70">
        <f>SUM($H$18:$H484)</f>
        <v>8041.5444282238004</v>
      </c>
    </row>
    <row r="485" spans="1:10" x14ac:dyDescent="0.3">
      <c r="A485" s="36">
        <f>IF(Values_Entered,A484+1,"")</f>
        <v>468</v>
      </c>
      <c r="B485" s="35">
        <f>IF(Pay_Num&lt;&gt;"",DATE(YEAR(Loan_Start),MONTH(Loan_Start)+(Pay_Num)*12/Num_Pmt_Per_Year,DAY(Loan_Start)),"")</f>
        <v>59627</v>
      </c>
      <c r="C485" s="70">
        <f>IF(Pay_Num&lt;&gt;"",I484,"")</f>
        <v>0</v>
      </c>
      <c r="D485" s="70">
        <f>IF(Pay_Num&lt;&gt;"",Scheduled_Monthly_Payment,"")</f>
        <v>2418.3976845093252</v>
      </c>
      <c r="E485" s="71">
        <f>IF(AND(Pay_Num&lt;&gt;"",Sched_Pay+Scheduled_Extra_Payments&lt;Beg_Bal),Scheduled_Extra_Payments,IF(AND(Pay_Num&lt;&gt;"",Beg_Bal-Sched_Pay&gt;0),Beg_Bal-Sched_Pay,IF(Pay_Num&lt;&gt;"",0,"")))</f>
        <v>0</v>
      </c>
      <c r="F485" s="70">
        <f>IF(AND(Pay_Num&lt;&gt;"",Sched_Pay+Extra_Pay&lt;Beg_Bal),Sched_Pay+Extra_Pay,IF(Pay_Num&lt;&gt;"",Beg_Bal,""))</f>
        <v>0</v>
      </c>
      <c r="G485" s="70">
        <f>IF(Pay_Num&lt;&gt;"",Total_Pay-Int,"")</f>
        <v>0</v>
      </c>
      <c r="H485" s="70">
        <f>IF(Pay_Num&lt;&gt;"",Beg_Bal*Interest_Rate/Num_Pmt_Per_Year,"")</f>
        <v>0</v>
      </c>
      <c r="I485" s="70">
        <f>IF(AND(Pay_Num&lt;&gt;"",Sched_Pay+Extra_Pay&lt;Beg_Bal),Beg_Bal-Princ,IF(Pay_Num&lt;&gt;"",0,""))</f>
        <v>0</v>
      </c>
      <c r="J485" s="70">
        <f>SUM($H$18:$H485)</f>
        <v>8041.5444282238004</v>
      </c>
    </row>
    <row r="486" spans="1:10" x14ac:dyDescent="0.3">
      <c r="A486" s="36">
        <f>IF(Values_Entered,A485+1,"")</f>
        <v>469</v>
      </c>
      <c r="B486" s="35">
        <f>IF(Pay_Num&lt;&gt;"",DATE(YEAR(Loan_Start),MONTH(Loan_Start)+(Pay_Num)*12/Num_Pmt_Per_Year,DAY(Loan_Start)),"")</f>
        <v>59657</v>
      </c>
      <c r="C486" s="70">
        <f>IF(Pay_Num&lt;&gt;"",I485,"")</f>
        <v>0</v>
      </c>
      <c r="D486" s="70">
        <f>IF(Pay_Num&lt;&gt;"",Scheduled_Monthly_Payment,"")</f>
        <v>2418.3976845093252</v>
      </c>
      <c r="E486" s="71">
        <f>IF(AND(Pay_Num&lt;&gt;"",Sched_Pay+Scheduled_Extra_Payments&lt;Beg_Bal),Scheduled_Extra_Payments,IF(AND(Pay_Num&lt;&gt;"",Beg_Bal-Sched_Pay&gt;0),Beg_Bal-Sched_Pay,IF(Pay_Num&lt;&gt;"",0,"")))</f>
        <v>0</v>
      </c>
      <c r="F486" s="70">
        <f>IF(AND(Pay_Num&lt;&gt;"",Sched_Pay+Extra_Pay&lt;Beg_Bal),Sched_Pay+Extra_Pay,IF(Pay_Num&lt;&gt;"",Beg_Bal,""))</f>
        <v>0</v>
      </c>
      <c r="G486" s="70">
        <f>IF(Pay_Num&lt;&gt;"",Total_Pay-Int,"")</f>
        <v>0</v>
      </c>
      <c r="H486" s="70">
        <f>IF(Pay_Num&lt;&gt;"",Beg_Bal*Interest_Rate/Num_Pmt_Per_Year,"")</f>
        <v>0</v>
      </c>
      <c r="I486" s="70">
        <f>IF(AND(Pay_Num&lt;&gt;"",Sched_Pay+Extra_Pay&lt;Beg_Bal),Beg_Bal-Princ,IF(Pay_Num&lt;&gt;"",0,""))</f>
        <v>0</v>
      </c>
      <c r="J486" s="70">
        <f>SUM($H$18:$H486)</f>
        <v>8041.5444282238004</v>
      </c>
    </row>
    <row r="487" spans="1:10" x14ac:dyDescent="0.3">
      <c r="A487" s="36">
        <f>IF(Values_Entered,A486+1,"")</f>
        <v>470</v>
      </c>
      <c r="B487" s="35">
        <f>IF(Pay_Num&lt;&gt;"",DATE(YEAR(Loan_Start),MONTH(Loan_Start)+(Pay_Num)*12/Num_Pmt_Per_Year,DAY(Loan_Start)),"")</f>
        <v>59688</v>
      </c>
      <c r="C487" s="70">
        <f>IF(Pay_Num&lt;&gt;"",I486,"")</f>
        <v>0</v>
      </c>
      <c r="D487" s="70">
        <f>IF(Pay_Num&lt;&gt;"",Scheduled_Monthly_Payment,"")</f>
        <v>2418.3976845093252</v>
      </c>
      <c r="E487" s="71">
        <f>IF(AND(Pay_Num&lt;&gt;"",Sched_Pay+Scheduled_Extra_Payments&lt;Beg_Bal),Scheduled_Extra_Payments,IF(AND(Pay_Num&lt;&gt;"",Beg_Bal-Sched_Pay&gt;0),Beg_Bal-Sched_Pay,IF(Pay_Num&lt;&gt;"",0,"")))</f>
        <v>0</v>
      </c>
      <c r="F487" s="70">
        <f>IF(AND(Pay_Num&lt;&gt;"",Sched_Pay+Extra_Pay&lt;Beg_Bal),Sched_Pay+Extra_Pay,IF(Pay_Num&lt;&gt;"",Beg_Bal,""))</f>
        <v>0</v>
      </c>
      <c r="G487" s="70">
        <f>IF(Pay_Num&lt;&gt;"",Total_Pay-Int,"")</f>
        <v>0</v>
      </c>
      <c r="H487" s="70">
        <f>IF(Pay_Num&lt;&gt;"",Beg_Bal*Interest_Rate/Num_Pmt_Per_Year,"")</f>
        <v>0</v>
      </c>
      <c r="I487" s="70">
        <f>IF(AND(Pay_Num&lt;&gt;"",Sched_Pay+Extra_Pay&lt;Beg_Bal),Beg_Bal-Princ,IF(Pay_Num&lt;&gt;"",0,""))</f>
        <v>0</v>
      </c>
      <c r="J487" s="70">
        <f>SUM($H$18:$H487)</f>
        <v>8041.5444282238004</v>
      </c>
    </row>
    <row r="488" spans="1:10" x14ac:dyDescent="0.3">
      <c r="A488" s="36">
        <f>IF(Values_Entered,A487+1,"")</f>
        <v>471</v>
      </c>
      <c r="B488" s="35">
        <f>IF(Pay_Num&lt;&gt;"",DATE(YEAR(Loan_Start),MONTH(Loan_Start)+(Pay_Num)*12/Num_Pmt_Per_Year,DAY(Loan_Start)),"")</f>
        <v>59718</v>
      </c>
      <c r="C488" s="70">
        <f>IF(Pay_Num&lt;&gt;"",I487,"")</f>
        <v>0</v>
      </c>
      <c r="D488" s="70">
        <f>IF(Pay_Num&lt;&gt;"",Scheduled_Monthly_Payment,"")</f>
        <v>2418.3976845093252</v>
      </c>
      <c r="E488" s="71">
        <f>IF(AND(Pay_Num&lt;&gt;"",Sched_Pay+Scheduled_Extra_Payments&lt;Beg_Bal),Scheduled_Extra_Payments,IF(AND(Pay_Num&lt;&gt;"",Beg_Bal-Sched_Pay&gt;0),Beg_Bal-Sched_Pay,IF(Pay_Num&lt;&gt;"",0,"")))</f>
        <v>0</v>
      </c>
      <c r="F488" s="70">
        <f>IF(AND(Pay_Num&lt;&gt;"",Sched_Pay+Extra_Pay&lt;Beg_Bal),Sched_Pay+Extra_Pay,IF(Pay_Num&lt;&gt;"",Beg_Bal,""))</f>
        <v>0</v>
      </c>
      <c r="G488" s="70">
        <f>IF(Pay_Num&lt;&gt;"",Total_Pay-Int,"")</f>
        <v>0</v>
      </c>
      <c r="H488" s="70">
        <f>IF(Pay_Num&lt;&gt;"",Beg_Bal*Interest_Rate/Num_Pmt_Per_Year,"")</f>
        <v>0</v>
      </c>
      <c r="I488" s="70">
        <f>IF(AND(Pay_Num&lt;&gt;"",Sched_Pay+Extra_Pay&lt;Beg_Bal),Beg_Bal-Princ,IF(Pay_Num&lt;&gt;"",0,""))</f>
        <v>0</v>
      </c>
      <c r="J488" s="70">
        <f>SUM($H$18:$H488)</f>
        <v>8041.5444282238004</v>
      </c>
    </row>
    <row r="489" spans="1:10" x14ac:dyDescent="0.3">
      <c r="A489" s="36">
        <f>IF(Values_Entered,A488+1,"")</f>
        <v>472</v>
      </c>
      <c r="B489" s="35">
        <f>IF(Pay_Num&lt;&gt;"",DATE(YEAR(Loan_Start),MONTH(Loan_Start)+(Pay_Num)*12/Num_Pmt_Per_Year,DAY(Loan_Start)),"")</f>
        <v>59749</v>
      </c>
      <c r="C489" s="70">
        <f>IF(Pay_Num&lt;&gt;"",I488,"")</f>
        <v>0</v>
      </c>
      <c r="D489" s="70">
        <f>IF(Pay_Num&lt;&gt;"",Scheduled_Monthly_Payment,"")</f>
        <v>2418.3976845093252</v>
      </c>
      <c r="E489" s="71">
        <f>IF(AND(Pay_Num&lt;&gt;"",Sched_Pay+Scheduled_Extra_Payments&lt;Beg_Bal),Scheduled_Extra_Payments,IF(AND(Pay_Num&lt;&gt;"",Beg_Bal-Sched_Pay&gt;0),Beg_Bal-Sched_Pay,IF(Pay_Num&lt;&gt;"",0,"")))</f>
        <v>0</v>
      </c>
      <c r="F489" s="70">
        <f>IF(AND(Pay_Num&lt;&gt;"",Sched_Pay+Extra_Pay&lt;Beg_Bal),Sched_Pay+Extra_Pay,IF(Pay_Num&lt;&gt;"",Beg_Bal,""))</f>
        <v>0</v>
      </c>
      <c r="G489" s="70">
        <f>IF(Pay_Num&lt;&gt;"",Total_Pay-Int,"")</f>
        <v>0</v>
      </c>
      <c r="H489" s="70">
        <f>IF(Pay_Num&lt;&gt;"",Beg_Bal*Interest_Rate/Num_Pmt_Per_Year,"")</f>
        <v>0</v>
      </c>
      <c r="I489" s="70">
        <f>IF(AND(Pay_Num&lt;&gt;"",Sched_Pay+Extra_Pay&lt;Beg_Bal),Beg_Bal-Princ,IF(Pay_Num&lt;&gt;"",0,""))</f>
        <v>0</v>
      </c>
      <c r="J489" s="70">
        <f>SUM($H$18:$H489)</f>
        <v>8041.5444282238004</v>
      </c>
    </row>
    <row r="490" spans="1:10" x14ac:dyDescent="0.3">
      <c r="A490" s="36">
        <f>IF(Values_Entered,A489+1,"")</f>
        <v>473</v>
      </c>
      <c r="B490" s="35">
        <f>IF(Pay_Num&lt;&gt;"",DATE(YEAR(Loan_Start),MONTH(Loan_Start)+(Pay_Num)*12/Num_Pmt_Per_Year,DAY(Loan_Start)),"")</f>
        <v>59780</v>
      </c>
      <c r="C490" s="70">
        <f>IF(Pay_Num&lt;&gt;"",I489,"")</f>
        <v>0</v>
      </c>
      <c r="D490" s="70">
        <f>IF(Pay_Num&lt;&gt;"",Scheduled_Monthly_Payment,"")</f>
        <v>2418.3976845093252</v>
      </c>
      <c r="E490" s="71">
        <f>IF(AND(Pay_Num&lt;&gt;"",Sched_Pay+Scheduled_Extra_Payments&lt;Beg_Bal),Scheduled_Extra_Payments,IF(AND(Pay_Num&lt;&gt;"",Beg_Bal-Sched_Pay&gt;0),Beg_Bal-Sched_Pay,IF(Pay_Num&lt;&gt;"",0,"")))</f>
        <v>0</v>
      </c>
      <c r="F490" s="70">
        <f>IF(AND(Pay_Num&lt;&gt;"",Sched_Pay+Extra_Pay&lt;Beg_Bal),Sched_Pay+Extra_Pay,IF(Pay_Num&lt;&gt;"",Beg_Bal,""))</f>
        <v>0</v>
      </c>
      <c r="G490" s="70">
        <f>IF(Pay_Num&lt;&gt;"",Total_Pay-Int,"")</f>
        <v>0</v>
      </c>
      <c r="H490" s="70">
        <f>IF(Pay_Num&lt;&gt;"",Beg_Bal*Interest_Rate/Num_Pmt_Per_Year,"")</f>
        <v>0</v>
      </c>
      <c r="I490" s="70">
        <f>IF(AND(Pay_Num&lt;&gt;"",Sched_Pay+Extra_Pay&lt;Beg_Bal),Beg_Bal-Princ,IF(Pay_Num&lt;&gt;"",0,""))</f>
        <v>0</v>
      </c>
      <c r="J490" s="70">
        <f>SUM($H$18:$H490)</f>
        <v>8041.5444282238004</v>
      </c>
    </row>
    <row r="491" spans="1:10" x14ac:dyDescent="0.3">
      <c r="A491" s="36">
        <f>IF(Values_Entered,A490+1,"")</f>
        <v>474</v>
      </c>
      <c r="B491" s="35">
        <f>IF(Pay_Num&lt;&gt;"",DATE(YEAR(Loan_Start),MONTH(Loan_Start)+(Pay_Num)*12/Num_Pmt_Per_Year,DAY(Loan_Start)),"")</f>
        <v>59810</v>
      </c>
      <c r="C491" s="70">
        <f>IF(Pay_Num&lt;&gt;"",I490,"")</f>
        <v>0</v>
      </c>
      <c r="D491" s="70">
        <f>IF(Pay_Num&lt;&gt;"",Scheduled_Monthly_Payment,"")</f>
        <v>2418.3976845093252</v>
      </c>
      <c r="E491" s="71">
        <f>IF(AND(Pay_Num&lt;&gt;"",Sched_Pay+Scheduled_Extra_Payments&lt;Beg_Bal),Scheduled_Extra_Payments,IF(AND(Pay_Num&lt;&gt;"",Beg_Bal-Sched_Pay&gt;0),Beg_Bal-Sched_Pay,IF(Pay_Num&lt;&gt;"",0,"")))</f>
        <v>0</v>
      </c>
      <c r="F491" s="70">
        <f>IF(AND(Pay_Num&lt;&gt;"",Sched_Pay+Extra_Pay&lt;Beg_Bal),Sched_Pay+Extra_Pay,IF(Pay_Num&lt;&gt;"",Beg_Bal,""))</f>
        <v>0</v>
      </c>
      <c r="G491" s="70">
        <f>IF(Pay_Num&lt;&gt;"",Total_Pay-Int,"")</f>
        <v>0</v>
      </c>
      <c r="H491" s="70">
        <f>IF(Pay_Num&lt;&gt;"",Beg_Bal*Interest_Rate/Num_Pmt_Per_Year,"")</f>
        <v>0</v>
      </c>
      <c r="I491" s="70">
        <f>IF(AND(Pay_Num&lt;&gt;"",Sched_Pay+Extra_Pay&lt;Beg_Bal),Beg_Bal-Princ,IF(Pay_Num&lt;&gt;"",0,""))</f>
        <v>0</v>
      </c>
      <c r="J491" s="70">
        <f>SUM($H$18:$H491)</f>
        <v>8041.5444282238004</v>
      </c>
    </row>
    <row r="492" spans="1:10" x14ac:dyDescent="0.3">
      <c r="A492" s="36">
        <f>IF(Values_Entered,A491+1,"")</f>
        <v>475</v>
      </c>
      <c r="B492" s="35">
        <f>IF(Pay_Num&lt;&gt;"",DATE(YEAR(Loan_Start),MONTH(Loan_Start)+(Pay_Num)*12/Num_Pmt_Per_Year,DAY(Loan_Start)),"")</f>
        <v>59841</v>
      </c>
      <c r="C492" s="70">
        <f>IF(Pay_Num&lt;&gt;"",I491,"")</f>
        <v>0</v>
      </c>
      <c r="D492" s="70">
        <f>IF(Pay_Num&lt;&gt;"",Scheduled_Monthly_Payment,"")</f>
        <v>2418.3976845093252</v>
      </c>
      <c r="E492" s="71">
        <f>IF(AND(Pay_Num&lt;&gt;"",Sched_Pay+Scheduled_Extra_Payments&lt;Beg_Bal),Scheduled_Extra_Payments,IF(AND(Pay_Num&lt;&gt;"",Beg_Bal-Sched_Pay&gt;0),Beg_Bal-Sched_Pay,IF(Pay_Num&lt;&gt;"",0,"")))</f>
        <v>0</v>
      </c>
      <c r="F492" s="70">
        <f>IF(AND(Pay_Num&lt;&gt;"",Sched_Pay+Extra_Pay&lt;Beg_Bal),Sched_Pay+Extra_Pay,IF(Pay_Num&lt;&gt;"",Beg_Bal,""))</f>
        <v>0</v>
      </c>
      <c r="G492" s="70">
        <f>IF(Pay_Num&lt;&gt;"",Total_Pay-Int,"")</f>
        <v>0</v>
      </c>
      <c r="H492" s="70">
        <f>IF(Pay_Num&lt;&gt;"",Beg_Bal*Interest_Rate/Num_Pmt_Per_Year,"")</f>
        <v>0</v>
      </c>
      <c r="I492" s="70">
        <f>IF(AND(Pay_Num&lt;&gt;"",Sched_Pay+Extra_Pay&lt;Beg_Bal),Beg_Bal-Princ,IF(Pay_Num&lt;&gt;"",0,""))</f>
        <v>0</v>
      </c>
      <c r="J492" s="70">
        <f>SUM($H$18:$H492)</f>
        <v>8041.5444282238004</v>
      </c>
    </row>
    <row r="493" spans="1:10" x14ac:dyDescent="0.3">
      <c r="A493" s="36">
        <f>IF(Values_Entered,A492+1,"")</f>
        <v>476</v>
      </c>
      <c r="B493" s="35">
        <f>IF(Pay_Num&lt;&gt;"",DATE(YEAR(Loan_Start),MONTH(Loan_Start)+(Pay_Num)*12/Num_Pmt_Per_Year,DAY(Loan_Start)),"")</f>
        <v>59871</v>
      </c>
      <c r="C493" s="70">
        <f>IF(Pay_Num&lt;&gt;"",I492,"")</f>
        <v>0</v>
      </c>
      <c r="D493" s="70">
        <f>IF(Pay_Num&lt;&gt;"",Scheduled_Monthly_Payment,"")</f>
        <v>2418.3976845093252</v>
      </c>
      <c r="E493" s="71">
        <f>IF(AND(Pay_Num&lt;&gt;"",Sched_Pay+Scheduled_Extra_Payments&lt;Beg_Bal),Scheduled_Extra_Payments,IF(AND(Pay_Num&lt;&gt;"",Beg_Bal-Sched_Pay&gt;0),Beg_Bal-Sched_Pay,IF(Pay_Num&lt;&gt;"",0,"")))</f>
        <v>0</v>
      </c>
      <c r="F493" s="70">
        <f>IF(AND(Pay_Num&lt;&gt;"",Sched_Pay+Extra_Pay&lt;Beg_Bal),Sched_Pay+Extra_Pay,IF(Pay_Num&lt;&gt;"",Beg_Bal,""))</f>
        <v>0</v>
      </c>
      <c r="G493" s="70">
        <f>IF(Pay_Num&lt;&gt;"",Total_Pay-Int,"")</f>
        <v>0</v>
      </c>
      <c r="H493" s="70">
        <f>IF(Pay_Num&lt;&gt;"",Beg_Bal*Interest_Rate/Num_Pmt_Per_Year,"")</f>
        <v>0</v>
      </c>
      <c r="I493" s="70">
        <f>IF(AND(Pay_Num&lt;&gt;"",Sched_Pay+Extra_Pay&lt;Beg_Bal),Beg_Bal-Princ,IF(Pay_Num&lt;&gt;"",0,""))</f>
        <v>0</v>
      </c>
      <c r="J493" s="70">
        <f>SUM($H$18:$H493)</f>
        <v>8041.5444282238004</v>
      </c>
    </row>
    <row r="494" spans="1:10" x14ac:dyDescent="0.3">
      <c r="A494" s="36">
        <f>IF(Values_Entered,A493+1,"")</f>
        <v>477</v>
      </c>
      <c r="B494" s="35">
        <f>IF(Pay_Num&lt;&gt;"",DATE(YEAR(Loan_Start),MONTH(Loan_Start)+(Pay_Num)*12/Num_Pmt_Per_Year,DAY(Loan_Start)),"")</f>
        <v>59902</v>
      </c>
      <c r="C494" s="70">
        <f>IF(Pay_Num&lt;&gt;"",I493,"")</f>
        <v>0</v>
      </c>
      <c r="D494" s="70">
        <f>IF(Pay_Num&lt;&gt;"",Scheduled_Monthly_Payment,"")</f>
        <v>2418.3976845093252</v>
      </c>
      <c r="E494" s="71">
        <f>IF(AND(Pay_Num&lt;&gt;"",Sched_Pay+Scheduled_Extra_Payments&lt;Beg_Bal),Scheduled_Extra_Payments,IF(AND(Pay_Num&lt;&gt;"",Beg_Bal-Sched_Pay&gt;0),Beg_Bal-Sched_Pay,IF(Pay_Num&lt;&gt;"",0,"")))</f>
        <v>0</v>
      </c>
      <c r="F494" s="70">
        <f>IF(AND(Pay_Num&lt;&gt;"",Sched_Pay+Extra_Pay&lt;Beg_Bal),Sched_Pay+Extra_Pay,IF(Pay_Num&lt;&gt;"",Beg_Bal,""))</f>
        <v>0</v>
      </c>
      <c r="G494" s="70">
        <f>IF(Pay_Num&lt;&gt;"",Total_Pay-Int,"")</f>
        <v>0</v>
      </c>
      <c r="H494" s="70">
        <f>IF(Pay_Num&lt;&gt;"",Beg_Bal*Interest_Rate/Num_Pmt_Per_Year,"")</f>
        <v>0</v>
      </c>
      <c r="I494" s="70">
        <f>IF(AND(Pay_Num&lt;&gt;"",Sched_Pay+Extra_Pay&lt;Beg_Bal),Beg_Bal-Princ,IF(Pay_Num&lt;&gt;"",0,""))</f>
        <v>0</v>
      </c>
      <c r="J494" s="70">
        <f>SUM($H$18:$H494)</f>
        <v>8041.5444282238004</v>
      </c>
    </row>
    <row r="495" spans="1:10" x14ac:dyDescent="0.3">
      <c r="A495" s="36">
        <f>IF(Values_Entered,A494+1,"")</f>
        <v>478</v>
      </c>
      <c r="B495" s="35">
        <f>IF(Pay_Num&lt;&gt;"",DATE(YEAR(Loan_Start),MONTH(Loan_Start)+(Pay_Num)*12/Num_Pmt_Per_Year,DAY(Loan_Start)),"")</f>
        <v>59933</v>
      </c>
      <c r="C495" s="70">
        <f>IF(Pay_Num&lt;&gt;"",I494,"")</f>
        <v>0</v>
      </c>
      <c r="D495" s="70">
        <f>IF(Pay_Num&lt;&gt;"",Scheduled_Monthly_Payment,"")</f>
        <v>2418.3976845093252</v>
      </c>
      <c r="E495" s="71">
        <f>IF(AND(Pay_Num&lt;&gt;"",Sched_Pay+Scheduled_Extra_Payments&lt;Beg_Bal),Scheduled_Extra_Payments,IF(AND(Pay_Num&lt;&gt;"",Beg_Bal-Sched_Pay&gt;0),Beg_Bal-Sched_Pay,IF(Pay_Num&lt;&gt;"",0,"")))</f>
        <v>0</v>
      </c>
      <c r="F495" s="70">
        <f>IF(AND(Pay_Num&lt;&gt;"",Sched_Pay+Extra_Pay&lt;Beg_Bal),Sched_Pay+Extra_Pay,IF(Pay_Num&lt;&gt;"",Beg_Bal,""))</f>
        <v>0</v>
      </c>
      <c r="G495" s="70">
        <f>IF(Pay_Num&lt;&gt;"",Total_Pay-Int,"")</f>
        <v>0</v>
      </c>
      <c r="H495" s="70">
        <f>IF(Pay_Num&lt;&gt;"",Beg_Bal*Interest_Rate/Num_Pmt_Per_Year,"")</f>
        <v>0</v>
      </c>
      <c r="I495" s="70">
        <f>IF(AND(Pay_Num&lt;&gt;"",Sched_Pay+Extra_Pay&lt;Beg_Bal),Beg_Bal-Princ,IF(Pay_Num&lt;&gt;"",0,""))</f>
        <v>0</v>
      </c>
      <c r="J495" s="70">
        <f>SUM($H$18:$H495)</f>
        <v>8041.5444282238004</v>
      </c>
    </row>
    <row r="496" spans="1:10" x14ac:dyDescent="0.3">
      <c r="A496" s="36">
        <f>IF(Values_Entered,A495+1,"")</f>
        <v>479</v>
      </c>
      <c r="B496" s="35">
        <f>IF(Pay_Num&lt;&gt;"",DATE(YEAR(Loan_Start),MONTH(Loan_Start)+(Pay_Num)*12/Num_Pmt_Per_Year,DAY(Loan_Start)),"")</f>
        <v>59962</v>
      </c>
      <c r="C496" s="70">
        <f>IF(Pay_Num&lt;&gt;"",I495,"")</f>
        <v>0</v>
      </c>
      <c r="D496" s="70">
        <f>IF(Pay_Num&lt;&gt;"",Scheduled_Monthly_Payment,"")</f>
        <v>2418.3976845093252</v>
      </c>
      <c r="E496" s="71">
        <f>IF(AND(Pay_Num&lt;&gt;"",Sched_Pay+Scheduled_Extra_Payments&lt;Beg_Bal),Scheduled_Extra_Payments,IF(AND(Pay_Num&lt;&gt;"",Beg_Bal-Sched_Pay&gt;0),Beg_Bal-Sched_Pay,IF(Pay_Num&lt;&gt;"",0,"")))</f>
        <v>0</v>
      </c>
      <c r="F496" s="70">
        <f>IF(AND(Pay_Num&lt;&gt;"",Sched_Pay+Extra_Pay&lt;Beg_Bal),Sched_Pay+Extra_Pay,IF(Pay_Num&lt;&gt;"",Beg_Bal,""))</f>
        <v>0</v>
      </c>
      <c r="G496" s="70">
        <f>IF(Pay_Num&lt;&gt;"",Total_Pay-Int,"")</f>
        <v>0</v>
      </c>
      <c r="H496" s="70">
        <f>IF(Pay_Num&lt;&gt;"",Beg_Bal*Interest_Rate/Num_Pmt_Per_Year,"")</f>
        <v>0</v>
      </c>
      <c r="I496" s="70">
        <f>IF(AND(Pay_Num&lt;&gt;"",Sched_Pay+Extra_Pay&lt;Beg_Bal),Beg_Bal-Princ,IF(Pay_Num&lt;&gt;"",0,""))</f>
        <v>0</v>
      </c>
      <c r="J496" s="70">
        <f>SUM($H$18:$H496)</f>
        <v>8041.5444282238004</v>
      </c>
    </row>
    <row r="497" spans="1:10" x14ac:dyDescent="0.3">
      <c r="A497" s="36">
        <f>IF(Values_Entered,A496+1,"")</f>
        <v>480</v>
      </c>
      <c r="B497" s="35">
        <f>IF(Pay_Num&lt;&gt;"",DATE(YEAR(Loan_Start),MONTH(Loan_Start)+(Pay_Num)*12/Num_Pmt_Per_Year,DAY(Loan_Start)),"")</f>
        <v>59993</v>
      </c>
      <c r="C497" s="70">
        <f>IF(Pay_Num&lt;&gt;"",I496,"")</f>
        <v>0</v>
      </c>
      <c r="D497" s="70">
        <f>IF(Pay_Num&lt;&gt;"",Scheduled_Monthly_Payment,"")</f>
        <v>2418.3976845093252</v>
      </c>
      <c r="E497" s="71">
        <f>IF(AND(Pay_Num&lt;&gt;"",Sched_Pay+Scheduled_Extra_Payments&lt;Beg_Bal),Scheduled_Extra_Payments,IF(AND(Pay_Num&lt;&gt;"",Beg_Bal-Sched_Pay&gt;0),Beg_Bal-Sched_Pay,IF(Pay_Num&lt;&gt;"",0,"")))</f>
        <v>0</v>
      </c>
      <c r="F497" s="70">
        <f>IF(AND(Pay_Num&lt;&gt;"",Sched_Pay+Extra_Pay&lt;Beg_Bal),Sched_Pay+Extra_Pay,IF(Pay_Num&lt;&gt;"",Beg_Bal,""))</f>
        <v>0</v>
      </c>
      <c r="G497" s="70">
        <f>IF(Pay_Num&lt;&gt;"",Total_Pay-Int,"")</f>
        <v>0</v>
      </c>
      <c r="H497" s="70">
        <f>IF(Pay_Num&lt;&gt;"",Beg_Bal*Interest_Rate/Num_Pmt_Per_Year,"")</f>
        <v>0</v>
      </c>
      <c r="I497" s="70">
        <f>IF(AND(Pay_Num&lt;&gt;"",Sched_Pay+Extra_Pay&lt;Beg_Bal),Beg_Bal-Princ,IF(Pay_Num&lt;&gt;"",0,""))</f>
        <v>0</v>
      </c>
      <c r="J497" s="70">
        <f>SUM($H$18:$H497)</f>
        <v>8041.5444282238004</v>
      </c>
    </row>
  </sheetData>
  <sheetProtection sheet="1" objects="1" scenarios="1" selectLockedCells="1"/>
  <mergeCells count="3">
    <mergeCell ref="C12:D12"/>
    <mergeCell ref="B4:D4"/>
    <mergeCell ref="H4:J4"/>
  </mergeCells>
  <conditionalFormatting sqref="A18:E497">
    <cfRule type="expression" dxfId="7" priority="3" stopIfTrue="1">
      <formula>IF(ROW(A18)&lt;Last_Row,TRUE, FALSE)</formula>
    </cfRule>
  </conditionalFormatting>
  <conditionalFormatting sqref="A18:J497">
    <cfRule type="expression" dxfId="6" priority="1" stopIfTrue="1">
      <formula>IF(ROW(A18)&gt;Last_Row,TRUE, FALSE)</formula>
    </cfRule>
    <cfRule type="expression" dxfId="5" priority="2" stopIfTrue="1">
      <formula>IF(ROW(A18)=Last_Row,TRUE, FALSE)</formula>
    </cfRule>
  </conditionalFormatting>
  <conditionalFormatting sqref="F18:J497">
    <cfRule type="expression" dxfId="4" priority="4" stopIfTrue="1">
      <formula>IF(ROW(F18)&lt;=Last_Row,TRUE, FALSE)</formula>
    </cfRule>
  </conditionalFormatting>
  <dataValidations count="3">
    <dataValidation allowBlank="1" showInputMessage="1" showErrorMessage="1" promptTitle="Extra Payments" prompt="Enter an amount here if you want to make additional principal payments every pay period._x000a__x000a_For occasional extra payments, enter the extra principal amounts directly in the 'Extra Payment' column below." sqref="D10" xr:uid="{00000000-0002-0000-0000-000002000000}"/>
    <dataValidation type="date" operator="greaterThanOrEqual" allowBlank="1" showInputMessage="1" showErrorMessage="1" errorTitle="Date" error="Please enter a valid date greater than or equal to January 1, 1900." sqref="D9" xr:uid="{00000000-0002-0000-0000-000001000000}">
      <formula1>1</formula1>
    </dataValidation>
    <dataValidation type="whole" allowBlank="1" showInputMessage="1" showErrorMessage="1" errorTitle="Years" error="Please enter a whole number of years from 1 to 40." sqref="D7" xr:uid="{00000000-0002-0000-0000-000000000000}">
      <formula1>1</formula1>
      <formula2>40</formula2>
    </dataValidation>
  </dataValidations>
  <pageMargins left="0.5" right="0.5" top="0.5" bottom="0.5" header="0.5" footer="0.5"/>
  <pageSetup scale="8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6"/>
  <sheetViews>
    <sheetView zoomScale="145" zoomScaleNormal="145" workbookViewId="0">
      <pane ySplit="3" topLeftCell="A4" activePane="bottomLeft" state="frozen"/>
      <selection pane="bottomLeft" activeCell="G5" sqref="G5"/>
    </sheetView>
  </sheetViews>
  <sheetFormatPr defaultRowHeight="14.4" x14ac:dyDescent="0.3"/>
  <cols>
    <col min="1" max="1" width="18" customWidth="1"/>
    <col min="2" max="4" width="16" customWidth="1"/>
    <col min="5" max="5" width="18" customWidth="1"/>
    <col min="6" max="6" width="22" customWidth="1"/>
    <col min="7" max="8" width="18" customWidth="1"/>
    <col min="9" max="9" width="30" customWidth="1"/>
    <col min="10" max="10" width="28" customWidth="1"/>
    <col min="11" max="11" width="24" customWidth="1"/>
  </cols>
  <sheetData>
    <row r="1" spans="1:11" ht="24" customHeight="1" x14ac:dyDescent="0.3">
      <c r="A1" s="25" t="s">
        <v>688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3" spans="1:11" x14ac:dyDescent="0.3">
      <c r="A3" s="22" t="s">
        <v>689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1" x14ac:dyDescent="0.3">
      <c r="A4" s="1" t="s">
        <v>690</v>
      </c>
      <c r="B4" s="1" t="s">
        <v>691</v>
      </c>
      <c r="C4" s="1" t="s">
        <v>692</v>
      </c>
      <c r="D4" s="1" t="s">
        <v>693</v>
      </c>
      <c r="E4" s="1" t="s">
        <v>694</v>
      </c>
    </row>
    <row r="5" spans="1:11" x14ac:dyDescent="0.3">
      <c r="A5" s="2">
        <v>12</v>
      </c>
      <c r="B5" s="2">
        <v>2</v>
      </c>
      <c r="C5" s="2">
        <v>100000</v>
      </c>
      <c r="D5" s="2">
        <v>3000</v>
      </c>
      <c r="E5" s="2">
        <v>50000</v>
      </c>
    </row>
    <row r="11" spans="1:11" ht="28.8" x14ac:dyDescent="0.3">
      <c r="A11" s="1" t="s">
        <v>121</v>
      </c>
      <c r="B11" s="1" t="s">
        <v>17</v>
      </c>
      <c r="C11" s="1" t="s">
        <v>122</v>
      </c>
      <c r="D11" s="1" t="s">
        <v>4</v>
      </c>
      <c r="E11" s="1" t="s">
        <v>123</v>
      </c>
      <c r="F11" s="1" t="s">
        <v>124</v>
      </c>
      <c r="G11" s="1" t="s">
        <v>53</v>
      </c>
      <c r="H11" s="1" t="s">
        <v>125</v>
      </c>
      <c r="I11" s="1" t="s">
        <v>126</v>
      </c>
      <c r="J11" s="1" t="s">
        <v>127</v>
      </c>
      <c r="K11" s="1" t="s">
        <v>55</v>
      </c>
    </row>
    <row r="12" spans="1:11" ht="28.8" x14ac:dyDescent="0.3">
      <c r="A12" s="2" t="s">
        <v>695</v>
      </c>
      <c r="B12" s="11" t="s">
        <v>21</v>
      </c>
      <c r="C12" s="2" t="s">
        <v>696</v>
      </c>
      <c r="D12" s="2" t="s">
        <v>697</v>
      </c>
      <c r="E12" s="2" t="s">
        <v>698</v>
      </c>
      <c r="F12" s="9" t="s">
        <v>699</v>
      </c>
      <c r="G12" s="10">
        <f>PMT(A5/12/100,B5*12,-C5)</f>
        <v>4707.3472223264698</v>
      </c>
      <c r="H12" s="10" t="s">
        <v>700</v>
      </c>
      <c r="I12" s="2" t="s">
        <v>701</v>
      </c>
      <c r="J12" s="2" t="s">
        <v>702</v>
      </c>
      <c r="K12" s="2" t="s">
        <v>703</v>
      </c>
    </row>
    <row r="13" spans="1:11" ht="28.8" x14ac:dyDescent="0.3">
      <c r="A13" s="2" t="s">
        <v>695</v>
      </c>
      <c r="B13" s="11" t="s">
        <v>21</v>
      </c>
      <c r="C13" s="2" t="s">
        <v>704</v>
      </c>
      <c r="D13" s="2" t="s">
        <v>705</v>
      </c>
      <c r="E13" s="2" t="s">
        <v>706</v>
      </c>
      <c r="F13" s="9" t="s">
        <v>707</v>
      </c>
      <c r="G13" s="10">
        <f>FV(8%/12,24,-D5,0,0)</f>
        <v>77799.569285389502</v>
      </c>
      <c r="H13" s="10" t="s">
        <v>708</v>
      </c>
      <c r="I13" s="2" t="s">
        <v>709</v>
      </c>
      <c r="J13" s="2" t="s">
        <v>710</v>
      </c>
      <c r="K13" s="2" t="s">
        <v>711</v>
      </c>
    </row>
    <row r="14" spans="1:11" ht="43.2" x14ac:dyDescent="0.3">
      <c r="A14" s="2" t="s">
        <v>695</v>
      </c>
      <c r="B14" s="11" t="s">
        <v>21</v>
      </c>
      <c r="C14" s="2" t="s">
        <v>712</v>
      </c>
      <c r="D14" s="2" t="s">
        <v>713</v>
      </c>
      <c r="E14" s="2" t="s">
        <v>714</v>
      </c>
      <c r="F14" s="9" t="s">
        <v>715</v>
      </c>
      <c r="G14" s="10">
        <f>PV(10%/12,12,0,-E5)</f>
        <v>45260.621489531666</v>
      </c>
      <c r="H14" s="10" t="s">
        <v>716</v>
      </c>
      <c r="I14" s="2" t="s">
        <v>717</v>
      </c>
      <c r="J14" s="2" t="s">
        <v>718</v>
      </c>
      <c r="K14" s="2" t="s">
        <v>719</v>
      </c>
    </row>
    <row r="15" spans="1:11" ht="28.8" x14ac:dyDescent="0.3">
      <c r="A15" s="2" t="s">
        <v>695</v>
      </c>
      <c r="B15" s="12" t="s">
        <v>23</v>
      </c>
      <c r="C15" s="2" t="s">
        <v>720</v>
      </c>
      <c r="D15" s="2" t="s">
        <v>721</v>
      </c>
      <c r="E15" s="2" t="s">
        <v>722</v>
      </c>
      <c r="F15" s="9" t="s">
        <v>723</v>
      </c>
      <c r="G15" s="10">
        <f>RATE(B5*12,-4707.35,C5)*12</f>
        <v>0.120000594799482</v>
      </c>
      <c r="H15" s="10" t="s">
        <v>724</v>
      </c>
      <c r="I15" s="2" t="s">
        <v>725</v>
      </c>
      <c r="J15" s="2" t="s">
        <v>726</v>
      </c>
      <c r="K15" s="2" t="s">
        <v>727</v>
      </c>
    </row>
    <row r="16" spans="1:11" ht="28.8" x14ac:dyDescent="0.3">
      <c r="A16" s="2" t="s">
        <v>695</v>
      </c>
      <c r="B16" s="12" t="s">
        <v>23</v>
      </c>
      <c r="C16" s="2" t="s">
        <v>728</v>
      </c>
      <c r="D16" s="2" t="s">
        <v>729</v>
      </c>
      <c r="E16" s="2" t="s">
        <v>730</v>
      </c>
      <c r="F16" s="9" t="s">
        <v>731</v>
      </c>
      <c r="G16" s="10">
        <f>NPER(12%/12,-4707.35,C5)</f>
        <v>23.999984004276378</v>
      </c>
      <c r="H16" s="10" t="s">
        <v>732</v>
      </c>
      <c r="I16" s="2" t="s">
        <v>733</v>
      </c>
      <c r="J16" s="2" t="s">
        <v>734</v>
      </c>
      <c r="K16" s="2" t="s">
        <v>735</v>
      </c>
    </row>
  </sheetData>
  <mergeCells count="2">
    <mergeCell ref="A1:K1"/>
    <mergeCell ref="A3:K3"/>
  </mergeCells>
  <pageMargins left="0.75" right="0.75" top="1" bottom="1" header="0.5" footer="0.5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BA9C1-722E-495B-957E-0FE9A9DAC918}">
  <dimension ref="A1:J497"/>
  <sheetViews>
    <sheetView showGridLines="0" workbookViewId="0">
      <pane ySplit="17" topLeftCell="A18" activePane="bottomLeft" state="frozenSplit"/>
      <selection pane="bottomLeft" activeCell="D10" sqref="D10"/>
    </sheetView>
  </sheetViews>
  <sheetFormatPr defaultColWidth="9.109375" defaultRowHeight="13.8" x14ac:dyDescent="0.3"/>
  <cols>
    <col min="1" max="1" width="6.33203125" style="32" customWidth="1"/>
    <col min="2" max="2" width="15.6640625" style="31" customWidth="1"/>
    <col min="3" max="3" width="21.6640625" style="31" customWidth="1"/>
    <col min="4" max="8" width="14.6640625" style="31" customWidth="1"/>
    <col min="9" max="10" width="21.6640625" style="31" customWidth="1"/>
    <col min="11" max="16384" width="9.109375" style="30"/>
  </cols>
  <sheetData>
    <row r="1" spans="1:10" ht="24" customHeight="1" x14ac:dyDescent="0.4">
      <c r="A1" s="67" t="s">
        <v>1060</v>
      </c>
      <c r="B1" s="30"/>
      <c r="C1" s="30"/>
      <c r="D1" s="30"/>
      <c r="E1" s="51"/>
      <c r="F1" s="51"/>
      <c r="G1" s="51"/>
      <c r="H1" s="51"/>
      <c r="I1" s="51"/>
      <c r="J1" s="51"/>
    </row>
    <row r="2" spans="1:10" ht="3" customHeight="1" x14ac:dyDescent="0.3">
      <c r="A2" s="47"/>
      <c r="B2" s="46"/>
      <c r="C2" s="46"/>
      <c r="D2" s="46"/>
      <c r="E2" s="46"/>
      <c r="F2" s="46"/>
      <c r="G2" s="46"/>
      <c r="H2" s="46"/>
      <c r="I2" s="46"/>
      <c r="J2" s="46"/>
    </row>
    <row r="3" spans="1:10" ht="20.25" customHeight="1" x14ac:dyDescent="0.3">
      <c r="A3" s="51"/>
      <c r="B3" s="48"/>
      <c r="C3" s="48"/>
      <c r="D3" s="48"/>
      <c r="E3" s="48"/>
      <c r="F3" s="48"/>
      <c r="G3" s="48"/>
      <c r="H3" s="48"/>
      <c r="I3" s="48"/>
      <c r="J3" s="48"/>
    </row>
    <row r="4" spans="1:10" ht="14.25" customHeight="1" x14ac:dyDescent="0.3">
      <c r="A4" s="51"/>
      <c r="B4" s="66" t="s">
        <v>1059</v>
      </c>
      <c r="C4" s="65"/>
      <c r="D4" s="64"/>
      <c r="E4" s="51"/>
      <c r="F4" s="30"/>
      <c r="G4" s="30"/>
      <c r="H4" s="66" t="s">
        <v>1058</v>
      </c>
      <c r="I4" s="65"/>
      <c r="J4" s="64"/>
    </row>
    <row r="5" spans="1:10" x14ac:dyDescent="0.3">
      <c r="A5" s="51"/>
      <c r="B5" s="60"/>
      <c r="C5" s="59" t="s">
        <v>1057</v>
      </c>
      <c r="D5" s="54">
        <v>1000000</v>
      </c>
      <c r="E5" s="51"/>
      <c r="F5" s="30"/>
      <c r="G5" s="30"/>
      <c r="H5" s="60"/>
      <c r="I5" s="59" t="s">
        <v>1056</v>
      </c>
      <c r="J5" s="57">
        <f>IF(Values_Entered,-PMT(Interest_Rate/Num_Pmt_Per_Year,Loan_Years*Num_Pmt_Per_Year,Loan_Amount),"")</f>
        <v>71560.087675010276</v>
      </c>
    </row>
    <row r="6" spans="1:10" x14ac:dyDescent="0.3">
      <c r="A6" s="51"/>
      <c r="B6" s="60"/>
      <c r="C6" s="59" t="s">
        <v>1055</v>
      </c>
      <c r="D6" s="63">
        <v>0.14749999999999999</v>
      </c>
      <c r="E6" s="51"/>
      <c r="F6" s="30"/>
      <c r="G6" s="30"/>
      <c r="H6" s="60"/>
      <c r="I6" s="59" t="s">
        <v>1054</v>
      </c>
      <c r="J6" s="62">
        <f>IF(Values_Entered,Loan_Years*Num_Pmt_Per_Year,"")</f>
        <v>20</v>
      </c>
    </row>
    <row r="7" spans="1:10" x14ac:dyDescent="0.3">
      <c r="A7" s="51"/>
      <c r="B7" s="60"/>
      <c r="C7" s="59" t="s">
        <v>1053</v>
      </c>
      <c r="D7" s="61">
        <v>5</v>
      </c>
      <c r="E7" s="51"/>
      <c r="F7" s="30"/>
      <c r="G7" s="30"/>
      <c r="H7" s="60"/>
      <c r="I7" s="59" t="s">
        <v>1052</v>
      </c>
      <c r="J7" s="62">
        <f>IF(Values_Entered,Number_of_Payments,"")</f>
        <v>20</v>
      </c>
    </row>
    <row r="8" spans="1:10" x14ac:dyDescent="0.3">
      <c r="A8" s="51"/>
      <c r="B8" s="60"/>
      <c r="C8" s="59" t="s">
        <v>1051</v>
      </c>
      <c r="D8" s="61">
        <v>4</v>
      </c>
      <c r="E8" s="51"/>
      <c r="F8" s="30"/>
      <c r="G8" s="30"/>
      <c r="H8" s="60"/>
      <c r="I8" s="59" t="s">
        <v>1050</v>
      </c>
      <c r="J8" s="57">
        <f>IF(Values_Entered,SUMIF(Beg_Bal,"&gt;0",Extra_Pay),"")</f>
        <v>0</v>
      </c>
    </row>
    <row r="9" spans="1:10" x14ac:dyDescent="0.3">
      <c r="A9" s="51"/>
      <c r="B9" s="60"/>
      <c r="C9" s="59" t="s">
        <v>1049</v>
      </c>
      <c r="D9" s="58">
        <v>46185</v>
      </c>
      <c r="E9" s="51"/>
      <c r="F9" s="30"/>
      <c r="G9" s="30"/>
      <c r="H9" s="56"/>
      <c r="I9" s="55" t="s">
        <v>1048</v>
      </c>
      <c r="J9" s="57">
        <f>IF(Values_Entered,SUMIF(Beg_Bal,"&gt;0",Int),"")</f>
        <v>431201.75350020552</v>
      </c>
    </row>
    <row r="10" spans="1:10" x14ac:dyDescent="0.3">
      <c r="A10" s="51"/>
      <c r="B10" s="56"/>
      <c r="C10" s="55" t="s">
        <v>1047</v>
      </c>
      <c r="D10" s="54"/>
      <c r="E10" s="51"/>
      <c r="F10" s="48"/>
      <c r="G10" s="48"/>
      <c r="H10" s="48"/>
      <c r="I10" s="48"/>
      <c r="J10" s="51"/>
    </row>
    <row r="11" spans="1:10" x14ac:dyDescent="0.3">
      <c r="A11" s="51"/>
      <c r="B11" s="48"/>
      <c r="C11" s="48"/>
      <c r="D11" s="48"/>
      <c r="E11" s="48"/>
      <c r="F11" s="48"/>
      <c r="G11" s="48"/>
      <c r="H11" s="48"/>
      <c r="I11" s="48"/>
      <c r="J11" s="48"/>
    </row>
    <row r="12" spans="1:10" x14ac:dyDescent="0.3">
      <c r="A12" s="51"/>
      <c r="B12" s="50" t="s">
        <v>1046</v>
      </c>
      <c r="C12" s="53"/>
      <c r="D12" s="52"/>
      <c r="E12" s="48"/>
      <c r="F12" s="48"/>
      <c r="G12" s="48"/>
      <c r="H12" s="48"/>
      <c r="I12" s="48"/>
      <c r="J12" s="48"/>
    </row>
    <row r="13" spans="1:10" x14ac:dyDescent="0.3">
      <c r="A13" s="51"/>
      <c r="B13" s="50"/>
      <c r="C13" s="49"/>
      <c r="D13" s="49"/>
      <c r="E13" s="48"/>
      <c r="F13" s="48"/>
      <c r="G13" s="48"/>
      <c r="H13" s="48"/>
      <c r="I13" s="48"/>
      <c r="J13" s="48"/>
    </row>
    <row r="14" spans="1:10" ht="6" customHeight="1" x14ac:dyDescent="0.3">
      <c r="A14" s="47"/>
      <c r="B14" s="46"/>
      <c r="C14" s="46"/>
      <c r="D14" s="46"/>
      <c r="E14" s="46"/>
      <c r="F14" s="46"/>
      <c r="G14" s="46"/>
      <c r="H14" s="46"/>
      <c r="I14" s="46"/>
      <c r="J14" s="46"/>
    </row>
    <row r="15" spans="1:10" ht="3.75" customHeight="1" x14ac:dyDescent="0.3">
      <c r="A15" s="45"/>
      <c r="B15" s="44"/>
      <c r="C15" s="44"/>
      <c r="D15" s="44"/>
      <c r="E15" s="44"/>
      <c r="F15" s="44"/>
      <c r="G15" s="44"/>
      <c r="H15" s="44"/>
      <c r="I15" s="44"/>
      <c r="J15" s="44"/>
    </row>
    <row r="16" spans="1:10" s="37" customFormat="1" ht="27.6" x14ac:dyDescent="0.3">
      <c r="A16" s="43" t="s">
        <v>1045</v>
      </c>
      <c r="B16" s="42" t="s">
        <v>1044</v>
      </c>
      <c r="C16" s="42" t="s">
        <v>1043</v>
      </c>
      <c r="D16" s="42" t="s">
        <v>1042</v>
      </c>
      <c r="E16" s="42" t="s">
        <v>1041</v>
      </c>
      <c r="F16" s="42" t="s">
        <v>1040</v>
      </c>
      <c r="G16" s="42" t="s">
        <v>1039</v>
      </c>
      <c r="H16" s="42" t="s">
        <v>1038</v>
      </c>
      <c r="I16" s="42" t="s">
        <v>1037</v>
      </c>
      <c r="J16" s="41" t="s">
        <v>1036</v>
      </c>
    </row>
    <row r="17" spans="1:10" s="37" customFormat="1" ht="6" customHeight="1" x14ac:dyDescent="0.3">
      <c r="A17" s="40"/>
      <c r="B17" s="39"/>
      <c r="C17" s="39"/>
      <c r="D17" s="39"/>
      <c r="E17" s="39"/>
      <c r="F17" s="39"/>
      <c r="G17" s="39"/>
      <c r="H17" s="39"/>
      <c r="I17" s="39"/>
      <c r="J17" s="38"/>
    </row>
    <row r="18" spans="1:10" s="37" customFormat="1" x14ac:dyDescent="0.3">
      <c r="A18" s="36">
        <f>IF(Values_Entered,1,"")</f>
        <v>1</v>
      </c>
      <c r="B18" s="35">
        <f>IF(Pay_Num&lt;&gt;"",DATE(YEAR(Loan_Start),MONTH(Loan_Start)+(Pay_Num)*12/Num_Pmt_Per_Year,DAY(Loan_Start)),"")</f>
        <v>46277</v>
      </c>
      <c r="C18" s="70">
        <f>IF(Values_Entered,Loan_Amount,"")</f>
        <v>1000000</v>
      </c>
      <c r="D18" s="70">
        <f>IF(Pay_Num&lt;&gt;"",Scheduled_Monthly_Payment,"")</f>
        <v>71560.087675010276</v>
      </c>
      <c r="E18" s="71">
        <f>IF(AND(Pay_Num&lt;&gt;"",Sched_Pay+Scheduled_Extra_Payments&lt;Beg_Bal),Scheduled_Extra_Payments,IF(AND(Pay_Num&lt;&gt;"",Beg_Bal-Sched_Pay&gt;0),Beg_Bal-Sched_Pay,IF(Pay_Num&lt;&gt;"",0,"")))</f>
        <v>0</v>
      </c>
      <c r="F18" s="70">
        <f>IF(AND(Pay_Num&lt;&gt;"",Sched_Pay+Extra_Pay&lt;Beg_Bal),Sched_Pay+Extra_Pay,IF(Pay_Num&lt;&gt;"",Beg_Bal,""))</f>
        <v>71560.087675010276</v>
      </c>
      <c r="G18" s="70">
        <f>IF(Pay_Num&lt;&gt;"",Total_Pay-Int,"")</f>
        <v>34685.087675010276</v>
      </c>
      <c r="H18" s="70">
        <f>IF(Pay_Num&lt;&gt;"",Beg_Bal*(Interest_Rate/Num_Pmt_Per_Year),"")</f>
        <v>36875</v>
      </c>
      <c r="I18" s="70">
        <f>IF(AND(Pay_Num&lt;&gt;"",Sched_Pay+Extra_Pay&lt;Beg_Bal),Beg_Bal-Princ,IF(Pay_Num&lt;&gt;"",0,""))</f>
        <v>965314.91232498968</v>
      </c>
      <c r="J18" s="70">
        <f>SUM($H$18:$H18)</f>
        <v>36875</v>
      </c>
    </row>
    <row r="19" spans="1:10" s="37" customFormat="1" ht="12.75" customHeight="1" x14ac:dyDescent="0.3">
      <c r="A19" s="36">
        <f>IF(Values_Entered,A18+1,"")</f>
        <v>2</v>
      </c>
      <c r="B19" s="35">
        <f>IF(Pay_Num&lt;&gt;"",DATE(YEAR(Loan_Start),MONTH(Loan_Start)+(Pay_Num)*12/Num_Pmt_Per_Year,DAY(Loan_Start)),"")</f>
        <v>46368</v>
      </c>
      <c r="C19" s="70">
        <f>IF(Pay_Num&lt;&gt;"",I18,"")</f>
        <v>965314.91232498968</v>
      </c>
      <c r="D19" s="70">
        <f>IF(Pay_Num&lt;&gt;"",Scheduled_Monthly_Payment,"")</f>
        <v>71560.087675010276</v>
      </c>
      <c r="E19" s="71">
        <f>IF(AND(Pay_Num&lt;&gt;"",Sched_Pay+Scheduled_Extra_Payments&lt;Beg_Bal),Scheduled_Extra_Payments,IF(AND(Pay_Num&lt;&gt;"",Beg_Bal-Sched_Pay&gt;0),Beg_Bal-Sched_Pay,IF(Pay_Num&lt;&gt;"",0,"")))</f>
        <v>0</v>
      </c>
      <c r="F19" s="70">
        <f>IF(AND(Pay_Num&lt;&gt;"",Sched_Pay+Extra_Pay&lt;Beg_Bal),Sched_Pay+Extra_Pay,IF(Pay_Num&lt;&gt;"",Beg_Bal,""))</f>
        <v>71560.087675010276</v>
      </c>
      <c r="G19" s="70">
        <f>IF(Pay_Num&lt;&gt;"",Total_Pay-Int,"")</f>
        <v>35964.100283026281</v>
      </c>
      <c r="H19" s="70">
        <f>IF(Pay_Num&lt;&gt;"",Beg_Bal*Interest_Rate/Num_Pmt_Per_Year,"")</f>
        <v>35595.987391983996</v>
      </c>
      <c r="I19" s="70">
        <f>IF(AND(Pay_Num&lt;&gt;"",Sched_Pay+Extra_Pay&lt;Beg_Bal),Beg_Bal-Princ,IF(Pay_Num&lt;&gt;"",0,""))</f>
        <v>929350.81204196345</v>
      </c>
      <c r="J19" s="70">
        <f>SUM($H$18:$H19)</f>
        <v>72470.987391984003</v>
      </c>
    </row>
    <row r="20" spans="1:10" s="37" customFormat="1" ht="12.75" customHeight="1" x14ac:dyDescent="0.3">
      <c r="A20" s="36">
        <f>IF(Values_Entered,A19+1,"")</f>
        <v>3</v>
      </c>
      <c r="B20" s="35">
        <f>IF(Pay_Num&lt;&gt;"",DATE(YEAR(Loan_Start),MONTH(Loan_Start)+(Pay_Num)*12/Num_Pmt_Per_Year,DAY(Loan_Start)),"")</f>
        <v>46458</v>
      </c>
      <c r="C20" s="70">
        <f>IF(Pay_Num&lt;&gt;"",I19,"")</f>
        <v>929350.81204196345</v>
      </c>
      <c r="D20" s="70">
        <f>IF(Pay_Num&lt;&gt;"",Scheduled_Monthly_Payment,"")</f>
        <v>71560.087675010276</v>
      </c>
      <c r="E20" s="71">
        <f>IF(AND(Pay_Num&lt;&gt;"",Sched_Pay+Scheduled_Extra_Payments&lt;Beg_Bal),Scheduled_Extra_Payments,IF(AND(Pay_Num&lt;&gt;"",Beg_Bal-Sched_Pay&gt;0),Beg_Bal-Sched_Pay,IF(Pay_Num&lt;&gt;"",0,"")))</f>
        <v>0</v>
      </c>
      <c r="F20" s="70">
        <f>IF(AND(Pay_Num&lt;&gt;"",Sched_Pay+Extra_Pay&lt;Beg_Bal),Sched_Pay+Extra_Pay,IF(Pay_Num&lt;&gt;"",Beg_Bal,""))</f>
        <v>71560.087675010276</v>
      </c>
      <c r="G20" s="70">
        <f>IF(Pay_Num&lt;&gt;"",Total_Pay-Int,"")</f>
        <v>37290.276480962879</v>
      </c>
      <c r="H20" s="70">
        <f>IF(Pay_Num&lt;&gt;"",Beg_Bal*Interest_Rate/Num_Pmt_Per_Year,"")</f>
        <v>34269.811194047397</v>
      </c>
      <c r="I20" s="70">
        <f>IF(AND(Pay_Num&lt;&gt;"",Sched_Pay+Extra_Pay&lt;Beg_Bal),Beg_Bal-Princ,IF(Pay_Num&lt;&gt;"",0,""))</f>
        <v>892060.53556100058</v>
      </c>
      <c r="J20" s="70">
        <f>SUM($H$18:$H20)</f>
        <v>106740.79858603139</v>
      </c>
    </row>
    <row r="21" spans="1:10" s="37" customFormat="1" x14ac:dyDescent="0.3">
      <c r="A21" s="36">
        <f>IF(Values_Entered,A20+1,"")</f>
        <v>4</v>
      </c>
      <c r="B21" s="35">
        <f>IF(Pay_Num&lt;&gt;"",DATE(YEAR(Loan_Start),MONTH(Loan_Start)+(Pay_Num)*12/Num_Pmt_Per_Year,DAY(Loan_Start)),"")</f>
        <v>46550</v>
      </c>
      <c r="C21" s="70">
        <f>IF(Pay_Num&lt;&gt;"",I20,"")</f>
        <v>892060.53556100058</v>
      </c>
      <c r="D21" s="70">
        <f>IF(Pay_Num&lt;&gt;"",Scheduled_Monthly_Payment,"")</f>
        <v>71560.087675010276</v>
      </c>
      <c r="E21" s="71">
        <f>IF(AND(Pay_Num&lt;&gt;"",Sched_Pay+Scheduled_Extra_Payments&lt;Beg_Bal),Scheduled_Extra_Payments,IF(AND(Pay_Num&lt;&gt;"",Beg_Bal-Sched_Pay&gt;0),Beg_Bal-Sched_Pay,IF(Pay_Num&lt;&gt;"",0,"")))</f>
        <v>0</v>
      </c>
      <c r="F21" s="70">
        <f>IF(AND(Pay_Num&lt;&gt;"",Sched_Pay+Extra_Pay&lt;Beg_Bal),Sched_Pay+Extra_Pay,IF(Pay_Num&lt;&gt;"",Beg_Bal,""))</f>
        <v>71560.087675010276</v>
      </c>
      <c r="G21" s="70">
        <f>IF(Pay_Num&lt;&gt;"",Total_Pay-Int,"")</f>
        <v>38665.355426198381</v>
      </c>
      <c r="H21" s="70">
        <f>IF(Pay_Num&lt;&gt;"",Beg_Bal*Interest_Rate/Num_Pmt_Per_Year,"")</f>
        <v>32894.732248811895</v>
      </c>
      <c r="I21" s="70">
        <f>IF(AND(Pay_Num&lt;&gt;"",Sched_Pay+Extra_Pay&lt;Beg_Bal),Beg_Bal-Princ,IF(Pay_Num&lt;&gt;"",0,""))</f>
        <v>853395.18013480224</v>
      </c>
      <c r="J21" s="70">
        <f>SUM($H$18:$H21)</f>
        <v>139635.53083484329</v>
      </c>
    </row>
    <row r="22" spans="1:10" s="37" customFormat="1" x14ac:dyDescent="0.3">
      <c r="A22" s="36">
        <f>IF(Values_Entered,A21+1,"")</f>
        <v>5</v>
      </c>
      <c r="B22" s="35">
        <f>IF(Pay_Num&lt;&gt;"",DATE(YEAR(Loan_Start),MONTH(Loan_Start)+(Pay_Num)*12/Num_Pmt_Per_Year,DAY(Loan_Start)),"")</f>
        <v>46642</v>
      </c>
      <c r="C22" s="70">
        <f>IF(Pay_Num&lt;&gt;"",I21,"")</f>
        <v>853395.18013480224</v>
      </c>
      <c r="D22" s="70">
        <f>IF(Pay_Num&lt;&gt;"",Scheduled_Monthly_Payment,"")</f>
        <v>71560.087675010276</v>
      </c>
      <c r="E22" s="71">
        <f>IF(AND(Pay_Num&lt;&gt;"",Sched_Pay+Scheduled_Extra_Payments&lt;Beg_Bal),Scheduled_Extra_Payments,IF(AND(Pay_Num&lt;&gt;"",Beg_Bal-Sched_Pay&gt;0),Beg_Bal-Sched_Pay,IF(Pay_Num&lt;&gt;"",0,"")))</f>
        <v>0</v>
      </c>
      <c r="F22" s="70">
        <f>IF(AND(Pay_Num&lt;&gt;"",Sched_Pay+Extra_Pay&lt;Beg_Bal),Sched_Pay+Extra_Pay,IF(Pay_Num&lt;&gt;"",Beg_Bal,""))</f>
        <v>71560.087675010276</v>
      </c>
      <c r="G22" s="70">
        <f>IF(Pay_Num&lt;&gt;"",Total_Pay-Int,"")</f>
        <v>40091.140407539446</v>
      </c>
      <c r="H22" s="70">
        <f>IF(Pay_Num&lt;&gt;"",Beg_Bal*Interest_Rate/Num_Pmt_Per_Year,"")</f>
        <v>31468.94726747083</v>
      </c>
      <c r="I22" s="70">
        <f>IF(AND(Pay_Num&lt;&gt;"",Sched_Pay+Extra_Pay&lt;Beg_Bal),Beg_Bal-Princ,IF(Pay_Num&lt;&gt;"",0,""))</f>
        <v>813304.0397272628</v>
      </c>
      <c r="J22" s="70">
        <f>SUM($H$18:$H22)</f>
        <v>171104.47810231411</v>
      </c>
    </row>
    <row r="23" spans="1:10" x14ac:dyDescent="0.3">
      <c r="A23" s="36">
        <f>IF(Values_Entered,A22+1,"")</f>
        <v>6</v>
      </c>
      <c r="B23" s="35">
        <f>IF(Pay_Num&lt;&gt;"",DATE(YEAR(Loan_Start),MONTH(Loan_Start)+(Pay_Num)*12/Num_Pmt_Per_Year,DAY(Loan_Start)),"")</f>
        <v>46733</v>
      </c>
      <c r="C23" s="70">
        <f>IF(Pay_Num&lt;&gt;"",I22,"")</f>
        <v>813304.0397272628</v>
      </c>
      <c r="D23" s="70">
        <f>IF(Pay_Num&lt;&gt;"",Scheduled_Monthly_Payment,"")</f>
        <v>71560.087675010276</v>
      </c>
      <c r="E23" s="71">
        <f>IF(AND(Pay_Num&lt;&gt;"",Sched_Pay+Scheduled_Extra_Payments&lt;Beg_Bal),Scheduled_Extra_Payments,IF(AND(Pay_Num&lt;&gt;"",Beg_Bal-Sched_Pay&gt;0),Beg_Bal-Sched_Pay,IF(Pay_Num&lt;&gt;"",0,"")))</f>
        <v>0</v>
      </c>
      <c r="F23" s="70">
        <f>IF(AND(Pay_Num&lt;&gt;"",Sched_Pay+Extra_Pay&lt;Beg_Bal),Sched_Pay+Extra_Pay,IF(Pay_Num&lt;&gt;"",Beg_Bal,""))</f>
        <v>71560.087675010276</v>
      </c>
      <c r="G23" s="70">
        <f>IF(Pay_Num&lt;&gt;"",Total_Pay-Int,"")</f>
        <v>41569.501210067465</v>
      </c>
      <c r="H23" s="70">
        <f>IF(Pay_Num&lt;&gt;"",Beg_Bal*Interest_Rate/Num_Pmt_Per_Year,"")</f>
        <v>29990.586464942815</v>
      </c>
      <c r="I23" s="70">
        <f>IF(AND(Pay_Num&lt;&gt;"",Sched_Pay+Extra_Pay&lt;Beg_Bal),Beg_Bal-Princ,IF(Pay_Num&lt;&gt;"",0,""))</f>
        <v>771734.53851719538</v>
      </c>
      <c r="J23" s="70">
        <f>SUM($H$18:$H23)</f>
        <v>201095.06456725692</v>
      </c>
    </row>
    <row r="24" spans="1:10" x14ac:dyDescent="0.3">
      <c r="A24" s="36">
        <f>IF(Values_Entered,A23+1,"")</f>
        <v>7</v>
      </c>
      <c r="B24" s="35">
        <f>IF(Pay_Num&lt;&gt;"",DATE(YEAR(Loan_Start),MONTH(Loan_Start)+(Pay_Num)*12/Num_Pmt_Per_Year,DAY(Loan_Start)),"")</f>
        <v>46824</v>
      </c>
      <c r="C24" s="70">
        <f>IF(Pay_Num&lt;&gt;"",I23,"")</f>
        <v>771734.53851719538</v>
      </c>
      <c r="D24" s="70">
        <f>IF(Pay_Num&lt;&gt;"",Scheduled_Monthly_Payment,"")</f>
        <v>71560.087675010276</v>
      </c>
      <c r="E24" s="71">
        <f>IF(AND(Pay_Num&lt;&gt;"",Sched_Pay+Scheduled_Extra_Payments&lt;Beg_Bal),Scheduled_Extra_Payments,IF(AND(Pay_Num&lt;&gt;"",Beg_Bal-Sched_Pay&gt;0),Beg_Bal-Sched_Pay,IF(Pay_Num&lt;&gt;"",0,"")))</f>
        <v>0</v>
      </c>
      <c r="F24" s="70">
        <f>IF(AND(Pay_Num&lt;&gt;"",Sched_Pay+Extra_Pay&lt;Beg_Bal),Sched_Pay+Extra_Pay,IF(Pay_Num&lt;&gt;"",Beg_Bal,""))</f>
        <v>71560.087675010276</v>
      </c>
      <c r="G24" s="70">
        <f>IF(Pay_Num&lt;&gt;"",Total_Pay-Int,"")</f>
        <v>43102.376567188694</v>
      </c>
      <c r="H24" s="70">
        <f>IF(Pay_Num&lt;&gt;"",Beg_Bal*Interest_Rate/Num_Pmt_Per_Year,"")</f>
        <v>28457.711107821578</v>
      </c>
      <c r="I24" s="70">
        <f>IF(AND(Pay_Num&lt;&gt;"",Sched_Pay+Extra_Pay&lt;Beg_Bal),Beg_Bal-Princ,IF(Pay_Num&lt;&gt;"",0,""))</f>
        <v>728632.16195000673</v>
      </c>
      <c r="J24" s="70">
        <f>SUM($H$18:$H24)</f>
        <v>229552.7756750785</v>
      </c>
    </row>
    <row r="25" spans="1:10" x14ac:dyDescent="0.3">
      <c r="A25" s="36">
        <f>IF(Values_Entered,A24+1,"")</f>
        <v>8</v>
      </c>
      <c r="B25" s="35">
        <f>IF(Pay_Num&lt;&gt;"",DATE(YEAR(Loan_Start),MONTH(Loan_Start)+(Pay_Num)*12/Num_Pmt_Per_Year,DAY(Loan_Start)),"")</f>
        <v>46916</v>
      </c>
      <c r="C25" s="70">
        <f>IF(Pay_Num&lt;&gt;"",I24,"")</f>
        <v>728632.16195000673</v>
      </c>
      <c r="D25" s="70">
        <f>IF(Pay_Num&lt;&gt;"",Scheduled_Monthly_Payment,"")</f>
        <v>71560.087675010276</v>
      </c>
      <c r="E25" s="71">
        <f>IF(AND(Pay_Num&lt;&gt;"",Sched_Pay+Scheduled_Extra_Payments&lt;Beg_Bal),Scheduled_Extra_Payments,IF(AND(Pay_Num&lt;&gt;"",Beg_Bal-Sched_Pay&gt;0),Beg_Bal-Sched_Pay,IF(Pay_Num&lt;&gt;"",0,"")))</f>
        <v>0</v>
      </c>
      <c r="F25" s="70">
        <f>IF(AND(Pay_Num&lt;&gt;"",Sched_Pay+Extra_Pay&lt;Beg_Bal),Sched_Pay+Extra_Pay,IF(Pay_Num&lt;&gt;"",Beg_Bal,""))</f>
        <v>71560.087675010276</v>
      </c>
      <c r="G25" s="70">
        <f>IF(Pay_Num&lt;&gt;"",Total_Pay-Int,"")</f>
        <v>44691.77670310378</v>
      </c>
      <c r="H25" s="70">
        <f>IF(Pay_Num&lt;&gt;"",Beg_Bal*Interest_Rate/Num_Pmt_Per_Year,"")</f>
        <v>26868.310971906496</v>
      </c>
      <c r="I25" s="70">
        <f>IF(AND(Pay_Num&lt;&gt;"",Sched_Pay+Extra_Pay&lt;Beg_Bal),Beg_Bal-Princ,IF(Pay_Num&lt;&gt;"",0,""))</f>
        <v>683940.38524690294</v>
      </c>
      <c r="J25" s="70">
        <f>SUM($H$18:$H25)</f>
        <v>256421.086646985</v>
      </c>
    </row>
    <row r="26" spans="1:10" x14ac:dyDescent="0.3">
      <c r="A26" s="36">
        <f>IF(Values_Entered,A25+1,"")</f>
        <v>9</v>
      </c>
      <c r="B26" s="35">
        <f>IF(Pay_Num&lt;&gt;"",DATE(YEAR(Loan_Start),MONTH(Loan_Start)+(Pay_Num)*12/Num_Pmt_Per_Year,DAY(Loan_Start)),"")</f>
        <v>47008</v>
      </c>
      <c r="C26" s="70">
        <f>IF(Pay_Num&lt;&gt;"",I25,"")</f>
        <v>683940.38524690294</v>
      </c>
      <c r="D26" s="70">
        <f>IF(Pay_Num&lt;&gt;"",Scheduled_Monthly_Payment,"")</f>
        <v>71560.087675010276</v>
      </c>
      <c r="E26" s="71">
        <f>IF(AND(Pay_Num&lt;&gt;"",Sched_Pay+Scheduled_Extra_Payments&lt;Beg_Bal),Scheduled_Extra_Payments,IF(AND(Pay_Num&lt;&gt;"",Beg_Bal-Sched_Pay&gt;0),Beg_Bal-Sched_Pay,IF(Pay_Num&lt;&gt;"",0,"")))</f>
        <v>0</v>
      </c>
      <c r="F26" s="70">
        <f>IF(AND(Pay_Num&lt;&gt;"",Sched_Pay+Extra_Pay&lt;Beg_Bal),Sched_Pay+Extra_Pay,IF(Pay_Num&lt;&gt;"",Beg_Bal,""))</f>
        <v>71560.087675010276</v>
      </c>
      <c r="G26" s="70">
        <f>IF(Pay_Num&lt;&gt;"",Total_Pay-Int,"")</f>
        <v>46339.78596903073</v>
      </c>
      <c r="H26" s="70">
        <f>IF(Pay_Num&lt;&gt;"",Beg_Bal*Interest_Rate/Num_Pmt_Per_Year,"")</f>
        <v>25220.301705979546</v>
      </c>
      <c r="I26" s="70">
        <f>IF(AND(Pay_Num&lt;&gt;"",Sched_Pay+Extra_Pay&lt;Beg_Bal),Beg_Bal-Princ,IF(Pay_Num&lt;&gt;"",0,""))</f>
        <v>637600.59927787224</v>
      </c>
      <c r="J26" s="70">
        <f>SUM($H$18:$H26)</f>
        <v>281641.38835296454</v>
      </c>
    </row>
    <row r="27" spans="1:10" x14ac:dyDescent="0.3">
      <c r="A27" s="36">
        <f>IF(Values_Entered,A26+1,"")</f>
        <v>10</v>
      </c>
      <c r="B27" s="35">
        <f>IF(Pay_Num&lt;&gt;"",DATE(YEAR(Loan_Start),MONTH(Loan_Start)+(Pay_Num)*12/Num_Pmt_Per_Year,DAY(Loan_Start)),"")</f>
        <v>47099</v>
      </c>
      <c r="C27" s="70">
        <f>IF(Pay_Num&lt;&gt;"",I26,"")</f>
        <v>637600.59927787224</v>
      </c>
      <c r="D27" s="70">
        <f>IF(Pay_Num&lt;&gt;"",Scheduled_Monthly_Payment,"")</f>
        <v>71560.087675010276</v>
      </c>
      <c r="E27" s="71">
        <f>IF(AND(Pay_Num&lt;&gt;"",Sched_Pay+Scheduled_Extra_Payments&lt;Beg_Bal),Scheduled_Extra_Payments,IF(AND(Pay_Num&lt;&gt;"",Beg_Bal-Sched_Pay&gt;0),Beg_Bal-Sched_Pay,IF(Pay_Num&lt;&gt;"",0,"")))</f>
        <v>0</v>
      </c>
      <c r="F27" s="70">
        <f>IF(AND(Pay_Num&lt;&gt;"",Sched_Pay+Extra_Pay&lt;Beg_Bal),Sched_Pay+Extra_Pay,IF(Pay_Num&lt;&gt;"",Beg_Bal,""))</f>
        <v>71560.087675010276</v>
      </c>
      <c r="G27" s="70">
        <f>IF(Pay_Num&lt;&gt;"",Total_Pay-Int,"")</f>
        <v>48048.565576638735</v>
      </c>
      <c r="H27" s="70">
        <f>IF(Pay_Num&lt;&gt;"",Beg_Bal*Interest_Rate/Num_Pmt_Per_Year,"")</f>
        <v>23511.522098371537</v>
      </c>
      <c r="I27" s="70">
        <f>IF(AND(Pay_Num&lt;&gt;"",Sched_Pay+Extra_Pay&lt;Beg_Bal),Beg_Bal-Princ,IF(Pay_Num&lt;&gt;"",0,""))</f>
        <v>589552.03370123357</v>
      </c>
      <c r="J27" s="70">
        <f>SUM($H$18:$H27)</f>
        <v>305152.91045133607</v>
      </c>
    </row>
    <row r="28" spans="1:10" x14ac:dyDescent="0.3">
      <c r="A28" s="36">
        <f>IF(Values_Entered,A27+1,"")</f>
        <v>11</v>
      </c>
      <c r="B28" s="35">
        <f>IF(Pay_Num&lt;&gt;"",DATE(YEAR(Loan_Start),MONTH(Loan_Start)+(Pay_Num)*12/Num_Pmt_Per_Year,DAY(Loan_Start)),"")</f>
        <v>47189</v>
      </c>
      <c r="C28" s="70">
        <f>IF(Pay_Num&lt;&gt;"",I27,"")</f>
        <v>589552.03370123357</v>
      </c>
      <c r="D28" s="70">
        <f>IF(Pay_Num&lt;&gt;"",Scheduled_Monthly_Payment,"")</f>
        <v>71560.087675010276</v>
      </c>
      <c r="E28" s="71">
        <f>IF(AND(Pay_Num&lt;&gt;"",Sched_Pay+Scheduled_Extra_Payments&lt;Beg_Bal),Scheduled_Extra_Payments,IF(AND(Pay_Num&lt;&gt;"",Beg_Bal-Sched_Pay&gt;0),Beg_Bal-Sched_Pay,IF(Pay_Num&lt;&gt;"",0,"")))</f>
        <v>0</v>
      </c>
      <c r="F28" s="70">
        <f>IF(AND(Pay_Num&lt;&gt;"",Sched_Pay+Extra_Pay&lt;Beg_Bal),Sched_Pay+Extra_Pay,IF(Pay_Num&lt;&gt;"",Beg_Bal,""))</f>
        <v>71560.087675010276</v>
      </c>
      <c r="G28" s="70">
        <f>IF(Pay_Num&lt;&gt;"",Total_Pay-Int,"")</f>
        <v>49820.356432277287</v>
      </c>
      <c r="H28" s="70">
        <f>IF(Pay_Num&lt;&gt;"",Beg_Bal*Interest_Rate/Num_Pmt_Per_Year,"")</f>
        <v>21739.731242732985</v>
      </c>
      <c r="I28" s="70">
        <f>IF(AND(Pay_Num&lt;&gt;"",Sched_Pay+Extra_Pay&lt;Beg_Bal),Beg_Bal-Princ,IF(Pay_Num&lt;&gt;"",0,""))</f>
        <v>539731.67726895632</v>
      </c>
      <c r="J28" s="70">
        <f>SUM($H$18:$H28)</f>
        <v>326892.64169406903</v>
      </c>
    </row>
    <row r="29" spans="1:10" x14ac:dyDescent="0.3">
      <c r="A29" s="36">
        <f>IF(Values_Entered,A28+1,"")</f>
        <v>12</v>
      </c>
      <c r="B29" s="35">
        <f>IF(Pay_Num&lt;&gt;"",DATE(YEAR(Loan_Start),MONTH(Loan_Start)+(Pay_Num)*12/Num_Pmt_Per_Year,DAY(Loan_Start)),"")</f>
        <v>47281</v>
      </c>
      <c r="C29" s="70">
        <f>IF(Pay_Num&lt;&gt;"",I28,"")</f>
        <v>539731.67726895632</v>
      </c>
      <c r="D29" s="70">
        <f>IF(Pay_Num&lt;&gt;"",Scheduled_Monthly_Payment,"")</f>
        <v>71560.087675010276</v>
      </c>
      <c r="E29" s="71">
        <f>IF(AND(Pay_Num&lt;&gt;"",Sched_Pay+Scheduled_Extra_Payments&lt;Beg_Bal),Scheduled_Extra_Payments,IF(AND(Pay_Num&lt;&gt;"",Beg_Bal-Sched_Pay&gt;0),Beg_Bal-Sched_Pay,IF(Pay_Num&lt;&gt;"",0,"")))</f>
        <v>0</v>
      </c>
      <c r="F29" s="70">
        <f>IF(AND(Pay_Num&lt;&gt;"",Sched_Pay+Extra_Pay&lt;Beg_Bal),Sched_Pay+Extra_Pay,IF(Pay_Num&lt;&gt;"",Beg_Bal,""))</f>
        <v>71560.087675010276</v>
      </c>
      <c r="G29" s="70">
        <f>IF(Pay_Num&lt;&gt;"",Total_Pay-Int,"")</f>
        <v>51657.482075717511</v>
      </c>
      <c r="H29" s="70">
        <f>IF(Pay_Num&lt;&gt;"",Beg_Bal*Interest_Rate/Num_Pmt_Per_Year,"")</f>
        <v>19902.605599292765</v>
      </c>
      <c r="I29" s="70">
        <f>IF(AND(Pay_Num&lt;&gt;"",Sched_Pay+Extra_Pay&lt;Beg_Bal),Beg_Bal-Princ,IF(Pay_Num&lt;&gt;"",0,""))</f>
        <v>488074.19519323879</v>
      </c>
      <c r="J29" s="70">
        <f>SUM($H$18:$H29)</f>
        <v>346795.24729336181</v>
      </c>
    </row>
    <row r="30" spans="1:10" x14ac:dyDescent="0.3">
      <c r="A30" s="36">
        <f>IF(Values_Entered,A29+1,"")</f>
        <v>13</v>
      </c>
      <c r="B30" s="35">
        <f>IF(Pay_Num&lt;&gt;"",DATE(YEAR(Loan_Start),MONTH(Loan_Start)+(Pay_Num)*12/Num_Pmt_Per_Year,DAY(Loan_Start)),"")</f>
        <v>47373</v>
      </c>
      <c r="C30" s="70">
        <f>IF(Pay_Num&lt;&gt;"",I29,"")</f>
        <v>488074.19519323879</v>
      </c>
      <c r="D30" s="70">
        <f>IF(Pay_Num&lt;&gt;"",Scheduled_Monthly_Payment,"")</f>
        <v>71560.087675010276</v>
      </c>
      <c r="E30" s="71">
        <f>IF(AND(Pay_Num&lt;&gt;"",Sched_Pay+Scheduled_Extra_Payments&lt;Beg_Bal),Scheduled_Extra_Payments,IF(AND(Pay_Num&lt;&gt;"",Beg_Bal-Sched_Pay&gt;0),Beg_Bal-Sched_Pay,IF(Pay_Num&lt;&gt;"",0,"")))</f>
        <v>0</v>
      </c>
      <c r="F30" s="70">
        <f>IF(AND(Pay_Num&lt;&gt;"",Sched_Pay+Extra_Pay&lt;Beg_Bal),Sched_Pay+Extra_Pay,IF(Pay_Num&lt;&gt;"",Beg_Bal,""))</f>
        <v>71560.087675010276</v>
      </c>
      <c r="G30" s="70">
        <f>IF(Pay_Num&lt;&gt;"",Total_Pay-Int,"")</f>
        <v>53562.351727259593</v>
      </c>
      <c r="H30" s="70">
        <f>IF(Pay_Num&lt;&gt;"",Beg_Bal*Interest_Rate/Num_Pmt_Per_Year,"")</f>
        <v>17997.73594775068</v>
      </c>
      <c r="I30" s="70">
        <f>IF(AND(Pay_Num&lt;&gt;"",Sched_Pay+Extra_Pay&lt;Beg_Bal),Beg_Bal-Princ,IF(Pay_Num&lt;&gt;"",0,""))</f>
        <v>434511.84346597921</v>
      </c>
      <c r="J30" s="70">
        <f>SUM($H$18:$H30)</f>
        <v>364792.9832411125</v>
      </c>
    </row>
    <row r="31" spans="1:10" x14ac:dyDescent="0.3">
      <c r="A31" s="36">
        <f>IF(Values_Entered,A30+1,"")</f>
        <v>14</v>
      </c>
      <c r="B31" s="35">
        <f>IF(Pay_Num&lt;&gt;"",DATE(YEAR(Loan_Start),MONTH(Loan_Start)+(Pay_Num)*12/Num_Pmt_Per_Year,DAY(Loan_Start)),"")</f>
        <v>47464</v>
      </c>
      <c r="C31" s="70">
        <f>IF(Pay_Num&lt;&gt;"",I30,"")</f>
        <v>434511.84346597921</v>
      </c>
      <c r="D31" s="70">
        <f>IF(Pay_Num&lt;&gt;"",Scheduled_Monthly_Payment,"")</f>
        <v>71560.087675010276</v>
      </c>
      <c r="E31" s="71">
        <f>IF(AND(Pay_Num&lt;&gt;"",Sched_Pay+Scheduled_Extra_Payments&lt;Beg_Bal),Scheduled_Extra_Payments,IF(AND(Pay_Num&lt;&gt;"",Beg_Bal-Sched_Pay&gt;0),Beg_Bal-Sched_Pay,IF(Pay_Num&lt;&gt;"",0,"")))</f>
        <v>0</v>
      </c>
      <c r="F31" s="70">
        <f>IF(AND(Pay_Num&lt;&gt;"",Sched_Pay+Extra_Pay&lt;Beg_Bal),Sched_Pay+Extra_Pay,IF(Pay_Num&lt;&gt;"",Beg_Bal,""))</f>
        <v>71560.087675010276</v>
      </c>
      <c r="G31" s="70">
        <f>IF(Pay_Num&lt;&gt;"",Total_Pay-Int,"")</f>
        <v>55537.463447202295</v>
      </c>
      <c r="H31" s="70">
        <f>IF(Pay_Num&lt;&gt;"",Beg_Bal*Interest_Rate/Num_Pmt_Per_Year,"")</f>
        <v>16022.624227807983</v>
      </c>
      <c r="I31" s="70">
        <f>IF(AND(Pay_Num&lt;&gt;"",Sched_Pay+Extra_Pay&lt;Beg_Bal),Beg_Bal-Princ,IF(Pay_Num&lt;&gt;"",0,""))</f>
        <v>378974.38001877692</v>
      </c>
      <c r="J31" s="70">
        <f>SUM($H$18:$H31)</f>
        <v>380815.60746892047</v>
      </c>
    </row>
    <row r="32" spans="1:10" x14ac:dyDescent="0.3">
      <c r="A32" s="36">
        <f>IF(Values_Entered,A31+1,"")</f>
        <v>15</v>
      </c>
      <c r="B32" s="35">
        <f>IF(Pay_Num&lt;&gt;"",DATE(YEAR(Loan_Start),MONTH(Loan_Start)+(Pay_Num)*12/Num_Pmt_Per_Year,DAY(Loan_Start)),"")</f>
        <v>47554</v>
      </c>
      <c r="C32" s="70">
        <f>IF(Pay_Num&lt;&gt;"",I31,"")</f>
        <v>378974.38001877692</v>
      </c>
      <c r="D32" s="70">
        <f>IF(Pay_Num&lt;&gt;"",Scheduled_Monthly_Payment,"")</f>
        <v>71560.087675010276</v>
      </c>
      <c r="E32" s="71">
        <f>IF(AND(Pay_Num&lt;&gt;"",Sched_Pay+Scheduled_Extra_Payments&lt;Beg_Bal),Scheduled_Extra_Payments,IF(AND(Pay_Num&lt;&gt;"",Beg_Bal-Sched_Pay&gt;0),Beg_Bal-Sched_Pay,IF(Pay_Num&lt;&gt;"",0,"")))</f>
        <v>0</v>
      </c>
      <c r="F32" s="70">
        <f>IF(AND(Pay_Num&lt;&gt;"",Sched_Pay+Extra_Pay&lt;Beg_Bal),Sched_Pay+Extra_Pay,IF(Pay_Num&lt;&gt;"",Beg_Bal,""))</f>
        <v>71560.087675010276</v>
      </c>
      <c r="G32" s="70">
        <f>IF(Pay_Num&lt;&gt;"",Total_Pay-Int,"")</f>
        <v>57585.407411817876</v>
      </c>
      <c r="H32" s="70">
        <f>IF(Pay_Num&lt;&gt;"",Beg_Bal*Interest_Rate/Num_Pmt_Per_Year,"")</f>
        <v>13974.680263192398</v>
      </c>
      <c r="I32" s="70">
        <f>IF(AND(Pay_Num&lt;&gt;"",Sched_Pay+Extra_Pay&lt;Beg_Bal),Beg_Bal-Princ,IF(Pay_Num&lt;&gt;"",0,""))</f>
        <v>321388.97260695905</v>
      </c>
      <c r="J32" s="70">
        <f>SUM($H$18:$H32)</f>
        <v>394790.28773211286</v>
      </c>
    </row>
    <row r="33" spans="1:10" x14ac:dyDescent="0.3">
      <c r="A33" s="36">
        <f>IF(Values_Entered,A32+1,"")</f>
        <v>16</v>
      </c>
      <c r="B33" s="35">
        <f>IF(Pay_Num&lt;&gt;"",DATE(YEAR(Loan_Start),MONTH(Loan_Start)+(Pay_Num)*12/Num_Pmt_Per_Year,DAY(Loan_Start)),"")</f>
        <v>47646</v>
      </c>
      <c r="C33" s="70">
        <f>IF(Pay_Num&lt;&gt;"",I32,"")</f>
        <v>321388.97260695905</v>
      </c>
      <c r="D33" s="70">
        <f>IF(Pay_Num&lt;&gt;"",Scheduled_Monthly_Payment,"")</f>
        <v>71560.087675010276</v>
      </c>
      <c r="E33" s="71">
        <f>IF(AND(Pay_Num&lt;&gt;"",Sched_Pay+Scheduled_Extra_Payments&lt;Beg_Bal),Scheduled_Extra_Payments,IF(AND(Pay_Num&lt;&gt;"",Beg_Bal-Sched_Pay&gt;0),Beg_Bal-Sched_Pay,IF(Pay_Num&lt;&gt;"",0,"")))</f>
        <v>0</v>
      </c>
      <c r="F33" s="70">
        <f>IF(AND(Pay_Num&lt;&gt;"",Sched_Pay+Extra_Pay&lt;Beg_Bal),Sched_Pay+Extra_Pay,IF(Pay_Num&lt;&gt;"",Beg_Bal,""))</f>
        <v>71560.087675010276</v>
      </c>
      <c r="G33" s="70">
        <f>IF(Pay_Num&lt;&gt;"",Total_Pay-Int,"")</f>
        <v>59708.869310128663</v>
      </c>
      <c r="H33" s="70">
        <f>IF(Pay_Num&lt;&gt;"",Beg_Bal*Interest_Rate/Num_Pmt_Per_Year,"")</f>
        <v>11851.218364881615</v>
      </c>
      <c r="I33" s="70">
        <f>IF(AND(Pay_Num&lt;&gt;"",Sched_Pay+Extra_Pay&lt;Beg_Bal),Beg_Bal-Princ,IF(Pay_Num&lt;&gt;"",0,""))</f>
        <v>261680.10329683038</v>
      </c>
      <c r="J33" s="70">
        <f>SUM($H$18:$H33)</f>
        <v>406641.5060969945</v>
      </c>
    </row>
    <row r="34" spans="1:10" x14ac:dyDescent="0.3">
      <c r="A34" s="36">
        <f>IF(Values_Entered,A33+1,"")</f>
        <v>17</v>
      </c>
      <c r="B34" s="35">
        <f>IF(Pay_Num&lt;&gt;"",DATE(YEAR(Loan_Start),MONTH(Loan_Start)+(Pay_Num)*12/Num_Pmt_Per_Year,DAY(Loan_Start)),"")</f>
        <v>47738</v>
      </c>
      <c r="C34" s="70">
        <f>IF(Pay_Num&lt;&gt;"",I33,"")</f>
        <v>261680.10329683038</v>
      </c>
      <c r="D34" s="70">
        <f>IF(Pay_Num&lt;&gt;"",Scheduled_Monthly_Payment,"")</f>
        <v>71560.087675010276</v>
      </c>
      <c r="E34" s="71">
        <f>IF(AND(Pay_Num&lt;&gt;"",Sched_Pay+Scheduled_Extra_Payments&lt;Beg_Bal),Scheduled_Extra_Payments,IF(AND(Pay_Num&lt;&gt;"",Beg_Bal-Sched_Pay&gt;0),Beg_Bal-Sched_Pay,IF(Pay_Num&lt;&gt;"",0,"")))</f>
        <v>0</v>
      </c>
      <c r="F34" s="70">
        <f>IF(AND(Pay_Num&lt;&gt;"",Sched_Pay+Extra_Pay&lt;Beg_Bal),Sched_Pay+Extra_Pay,IF(Pay_Num&lt;&gt;"",Beg_Bal,""))</f>
        <v>71560.087675010276</v>
      </c>
      <c r="G34" s="70">
        <f>IF(Pay_Num&lt;&gt;"",Total_Pay-Int,"")</f>
        <v>61910.633865939657</v>
      </c>
      <c r="H34" s="70">
        <f>IF(Pay_Num&lt;&gt;"",Beg_Bal*Interest_Rate/Num_Pmt_Per_Year,"")</f>
        <v>9649.4538090706192</v>
      </c>
      <c r="I34" s="70">
        <f>IF(AND(Pay_Num&lt;&gt;"",Sched_Pay+Extra_Pay&lt;Beg_Bal),Beg_Bal-Princ,IF(Pay_Num&lt;&gt;"",0,""))</f>
        <v>199769.46943089072</v>
      </c>
      <c r="J34" s="70">
        <f>SUM($H$18:$H34)</f>
        <v>416290.95990606514</v>
      </c>
    </row>
    <row r="35" spans="1:10" x14ac:dyDescent="0.3">
      <c r="A35" s="36">
        <f>IF(Values_Entered,A34+1,"")</f>
        <v>18</v>
      </c>
      <c r="B35" s="35">
        <f>IF(Pay_Num&lt;&gt;"",DATE(YEAR(Loan_Start),MONTH(Loan_Start)+(Pay_Num)*12/Num_Pmt_Per_Year,DAY(Loan_Start)),"")</f>
        <v>47829</v>
      </c>
      <c r="C35" s="70">
        <f>IF(Pay_Num&lt;&gt;"",I34,"")</f>
        <v>199769.46943089072</v>
      </c>
      <c r="D35" s="70">
        <f>IF(Pay_Num&lt;&gt;"",Scheduled_Monthly_Payment,"")</f>
        <v>71560.087675010276</v>
      </c>
      <c r="E35" s="71">
        <f>IF(AND(Pay_Num&lt;&gt;"",Sched_Pay+Scheduled_Extra_Payments&lt;Beg_Bal),Scheduled_Extra_Payments,IF(AND(Pay_Num&lt;&gt;"",Beg_Bal-Sched_Pay&gt;0),Beg_Bal-Sched_Pay,IF(Pay_Num&lt;&gt;"",0,"")))</f>
        <v>0</v>
      </c>
      <c r="F35" s="70">
        <f>IF(AND(Pay_Num&lt;&gt;"",Sched_Pay+Extra_Pay&lt;Beg_Bal),Sched_Pay+Extra_Pay,IF(Pay_Num&lt;&gt;"",Beg_Bal,""))</f>
        <v>71560.087675010276</v>
      </c>
      <c r="G35" s="70">
        <f>IF(Pay_Num&lt;&gt;"",Total_Pay-Int,"")</f>
        <v>64193.58848974618</v>
      </c>
      <c r="H35" s="70">
        <f>IF(Pay_Num&lt;&gt;"",Beg_Bal*Interest_Rate/Num_Pmt_Per_Year,"")</f>
        <v>7366.4991852640951</v>
      </c>
      <c r="I35" s="70">
        <f>IF(AND(Pay_Num&lt;&gt;"",Sched_Pay+Extra_Pay&lt;Beg_Bal),Beg_Bal-Princ,IF(Pay_Num&lt;&gt;"",0,""))</f>
        <v>135575.88094114454</v>
      </c>
      <c r="J35" s="70">
        <f>SUM($H$18:$H35)</f>
        <v>423657.45909132925</v>
      </c>
    </row>
    <row r="36" spans="1:10" x14ac:dyDescent="0.3">
      <c r="A36" s="36">
        <f>IF(Values_Entered,A35+1,"")</f>
        <v>19</v>
      </c>
      <c r="B36" s="35">
        <f>IF(Pay_Num&lt;&gt;"",DATE(YEAR(Loan_Start),MONTH(Loan_Start)+(Pay_Num)*12/Num_Pmt_Per_Year,DAY(Loan_Start)),"")</f>
        <v>47919</v>
      </c>
      <c r="C36" s="70">
        <f>IF(Pay_Num&lt;&gt;"",I35,"")</f>
        <v>135575.88094114454</v>
      </c>
      <c r="D36" s="70">
        <f>IF(Pay_Num&lt;&gt;"",Scheduled_Monthly_Payment,"")</f>
        <v>71560.087675010276</v>
      </c>
      <c r="E36" s="71">
        <f>IF(AND(Pay_Num&lt;&gt;"",Sched_Pay+Scheduled_Extra_Payments&lt;Beg_Bal),Scheduled_Extra_Payments,IF(AND(Pay_Num&lt;&gt;"",Beg_Bal-Sched_Pay&gt;0),Beg_Bal-Sched_Pay,IF(Pay_Num&lt;&gt;"",0,"")))</f>
        <v>0</v>
      </c>
      <c r="F36" s="70">
        <f>IF(AND(Pay_Num&lt;&gt;"",Sched_Pay+Extra_Pay&lt;Beg_Bal),Sched_Pay+Extra_Pay,IF(Pay_Num&lt;&gt;"",Beg_Bal,""))</f>
        <v>71560.087675010276</v>
      </c>
      <c r="G36" s="70">
        <f>IF(Pay_Num&lt;&gt;"",Total_Pay-Int,"")</f>
        <v>66560.727065305575</v>
      </c>
      <c r="H36" s="70">
        <f>IF(Pay_Num&lt;&gt;"",Beg_Bal*Interest_Rate/Num_Pmt_Per_Year,"")</f>
        <v>4999.360609704705</v>
      </c>
      <c r="I36" s="70">
        <f>IF(AND(Pay_Num&lt;&gt;"",Sched_Pay+Extra_Pay&lt;Beg_Bal),Beg_Bal-Princ,IF(Pay_Num&lt;&gt;"",0,""))</f>
        <v>69015.153875838965</v>
      </c>
      <c r="J36" s="70">
        <f>SUM($H$18:$H36)</f>
        <v>428656.81970103394</v>
      </c>
    </row>
    <row r="37" spans="1:10" x14ac:dyDescent="0.3">
      <c r="A37" s="36">
        <f>IF(Values_Entered,A36+1,"")</f>
        <v>20</v>
      </c>
      <c r="B37" s="35">
        <f>IF(Pay_Num&lt;&gt;"",DATE(YEAR(Loan_Start),MONTH(Loan_Start)+(Pay_Num)*12/Num_Pmt_Per_Year,DAY(Loan_Start)),"")</f>
        <v>48011</v>
      </c>
      <c r="C37" s="70">
        <f>IF(Pay_Num&lt;&gt;"",I36,"")</f>
        <v>69015.153875838965</v>
      </c>
      <c r="D37" s="70">
        <f>IF(Pay_Num&lt;&gt;"",Scheduled_Monthly_Payment,"")</f>
        <v>71560.087675010276</v>
      </c>
      <c r="E37" s="71">
        <f>IF(AND(Pay_Num&lt;&gt;"",Sched_Pay+Scheduled_Extra_Payments&lt;Beg_Bal),Scheduled_Extra_Payments,IF(AND(Pay_Num&lt;&gt;"",Beg_Bal-Sched_Pay&gt;0),Beg_Bal-Sched_Pay,IF(Pay_Num&lt;&gt;"",0,"")))</f>
        <v>0</v>
      </c>
      <c r="F37" s="70">
        <f>IF(AND(Pay_Num&lt;&gt;"",Sched_Pay+Extra_Pay&lt;Beg_Bal),Sched_Pay+Extra_Pay,IF(Pay_Num&lt;&gt;"",Beg_Bal,""))</f>
        <v>69015.153875838965</v>
      </c>
      <c r="G37" s="70">
        <f>IF(Pay_Num&lt;&gt;"",Total_Pay-Int,"")</f>
        <v>66470.220076667407</v>
      </c>
      <c r="H37" s="70">
        <f>IF(Pay_Num&lt;&gt;"",Beg_Bal*Interest_Rate/Num_Pmt_Per_Year,"")</f>
        <v>2544.9337991715615</v>
      </c>
      <c r="I37" s="70">
        <f>IF(AND(Pay_Num&lt;&gt;"",Sched_Pay+Extra_Pay&lt;Beg_Bal),Beg_Bal-Princ,IF(Pay_Num&lt;&gt;"",0,""))</f>
        <v>0</v>
      </c>
      <c r="J37" s="70">
        <f>SUM($H$18:$H37)</f>
        <v>431201.75350020552</v>
      </c>
    </row>
    <row r="38" spans="1:10" x14ac:dyDescent="0.3">
      <c r="A38" s="36">
        <f>IF(Values_Entered,A37+1,"")</f>
        <v>21</v>
      </c>
      <c r="B38" s="35">
        <f>IF(Pay_Num&lt;&gt;"",DATE(YEAR(Loan_Start),MONTH(Loan_Start)+(Pay_Num)*12/Num_Pmt_Per_Year,DAY(Loan_Start)),"")</f>
        <v>48103</v>
      </c>
      <c r="C38" s="70">
        <f>IF(Pay_Num&lt;&gt;"",I37,"")</f>
        <v>0</v>
      </c>
      <c r="D38" s="70">
        <f>IF(Pay_Num&lt;&gt;"",Scheduled_Monthly_Payment,"")</f>
        <v>71560.087675010276</v>
      </c>
      <c r="E38" s="71">
        <f>IF(AND(Pay_Num&lt;&gt;"",Sched_Pay+Scheduled_Extra_Payments&lt;Beg_Bal),Scheduled_Extra_Payments,IF(AND(Pay_Num&lt;&gt;"",Beg_Bal-Sched_Pay&gt;0),Beg_Bal-Sched_Pay,IF(Pay_Num&lt;&gt;"",0,"")))</f>
        <v>0</v>
      </c>
      <c r="F38" s="70">
        <f>IF(AND(Pay_Num&lt;&gt;"",Sched_Pay+Extra_Pay&lt;Beg_Bal),Sched_Pay+Extra_Pay,IF(Pay_Num&lt;&gt;"",Beg_Bal,""))</f>
        <v>0</v>
      </c>
      <c r="G38" s="70">
        <f>IF(Pay_Num&lt;&gt;"",Total_Pay-Int,"")</f>
        <v>0</v>
      </c>
      <c r="H38" s="70">
        <f>IF(Pay_Num&lt;&gt;"",Beg_Bal*Interest_Rate/Num_Pmt_Per_Year,"")</f>
        <v>0</v>
      </c>
      <c r="I38" s="70">
        <f>IF(AND(Pay_Num&lt;&gt;"",Sched_Pay+Extra_Pay&lt;Beg_Bal),Beg_Bal-Princ,IF(Pay_Num&lt;&gt;"",0,""))</f>
        <v>0</v>
      </c>
      <c r="J38" s="70">
        <f>SUM($H$18:$H38)</f>
        <v>431201.75350020552</v>
      </c>
    </row>
    <row r="39" spans="1:10" x14ac:dyDescent="0.3">
      <c r="A39" s="36">
        <f>IF(Values_Entered,A38+1,"")</f>
        <v>22</v>
      </c>
      <c r="B39" s="35">
        <f>IF(Pay_Num&lt;&gt;"",DATE(YEAR(Loan_Start),MONTH(Loan_Start)+(Pay_Num)*12/Num_Pmt_Per_Year,DAY(Loan_Start)),"")</f>
        <v>48194</v>
      </c>
      <c r="C39" s="70">
        <f>IF(Pay_Num&lt;&gt;"",I38,"")</f>
        <v>0</v>
      </c>
      <c r="D39" s="70">
        <f>IF(Pay_Num&lt;&gt;"",Scheduled_Monthly_Payment,"")</f>
        <v>71560.087675010276</v>
      </c>
      <c r="E39" s="71">
        <f>IF(AND(Pay_Num&lt;&gt;"",Sched_Pay+Scheduled_Extra_Payments&lt;Beg_Bal),Scheduled_Extra_Payments,IF(AND(Pay_Num&lt;&gt;"",Beg_Bal-Sched_Pay&gt;0),Beg_Bal-Sched_Pay,IF(Pay_Num&lt;&gt;"",0,"")))</f>
        <v>0</v>
      </c>
      <c r="F39" s="70">
        <f>IF(AND(Pay_Num&lt;&gt;"",Sched_Pay+Extra_Pay&lt;Beg_Bal),Sched_Pay+Extra_Pay,IF(Pay_Num&lt;&gt;"",Beg_Bal,""))</f>
        <v>0</v>
      </c>
      <c r="G39" s="70">
        <f>IF(Pay_Num&lt;&gt;"",Total_Pay-Int,"")</f>
        <v>0</v>
      </c>
      <c r="H39" s="70">
        <f>IF(Pay_Num&lt;&gt;"",Beg_Bal*Interest_Rate/Num_Pmt_Per_Year,"")</f>
        <v>0</v>
      </c>
      <c r="I39" s="70">
        <f>IF(AND(Pay_Num&lt;&gt;"",Sched_Pay+Extra_Pay&lt;Beg_Bal),Beg_Bal-Princ,IF(Pay_Num&lt;&gt;"",0,""))</f>
        <v>0</v>
      </c>
      <c r="J39" s="70">
        <f>SUM($H$18:$H39)</f>
        <v>431201.75350020552</v>
      </c>
    </row>
    <row r="40" spans="1:10" x14ac:dyDescent="0.3">
      <c r="A40" s="36">
        <f>IF(Values_Entered,A39+1,"")</f>
        <v>23</v>
      </c>
      <c r="B40" s="35">
        <f>IF(Pay_Num&lt;&gt;"",DATE(YEAR(Loan_Start),MONTH(Loan_Start)+(Pay_Num)*12/Num_Pmt_Per_Year,DAY(Loan_Start)),"")</f>
        <v>48285</v>
      </c>
      <c r="C40" s="70">
        <f>IF(Pay_Num&lt;&gt;"",I39,"")</f>
        <v>0</v>
      </c>
      <c r="D40" s="70">
        <f>IF(Pay_Num&lt;&gt;"",Scheduled_Monthly_Payment,"")</f>
        <v>71560.087675010276</v>
      </c>
      <c r="E40" s="71">
        <f>IF(AND(Pay_Num&lt;&gt;"",Sched_Pay+Scheduled_Extra_Payments&lt;Beg_Bal),Scheduled_Extra_Payments,IF(AND(Pay_Num&lt;&gt;"",Beg_Bal-Sched_Pay&gt;0),Beg_Bal-Sched_Pay,IF(Pay_Num&lt;&gt;"",0,"")))</f>
        <v>0</v>
      </c>
      <c r="F40" s="70">
        <f>IF(AND(Pay_Num&lt;&gt;"",Sched_Pay+Extra_Pay&lt;Beg_Bal),Sched_Pay+Extra_Pay,IF(Pay_Num&lt;&gt;"",Beg_Bal,""))</f>
        <v>0</v>
      </c>
      <c r="G40" s="70">
        <f>IF(Pay_Num&lt;&gt;"",Total_Pay-Int,"")</f>
        <v>0</v>
      </c>
      <c r="H40" s="70">
        <f>IF(Pay_Num&lt;&gt;"",Beg_Bal*Interest_Rate/Num_Pmt_Per_Year,"")</f>
        <v>0</v>
      </c>
      <c r="I40" s="70">
        <f>IF(AND(Pay_Num&lt;&gt;"",Sched_Pay+Extra_Pay&lt;Beg_Bal),Beg_Bal-Princ,IF(Pay_Num&lt;&gt;"",0,""))</f>
        <v>0</v>
      </c>
      <c r="J40" s="70">
        <f>SUM($H$18:$H40)</f>
        <v>431201.75350020552</v>
      </c>
    </row>
    <row r="41" spans="1:10" x14ac:dyDescent="0.3">
      <c r="A41" s="36">
        <f>IF(Values_Entered,A40+1,"")</f>
        <v>24</v>
      </c>
      <c r="B41" s="35">
        <f>IF(Pay_Num&lt;&gt;"",DATE(YEAR(Loan_Start),MONTH(Loan_Start)+(Pay_Num)*12/Num_Pmt_Per_Year,DAY(Loan_Start)),"")</f>
        <v>48377</v>
      </c>
      <c r="C41" s="70">
        <f>IF(Pay_Num&lt;&gt;"",I40,"")</f>
        <v>0</v>
      </c>
      <c r="D41" s="70">
        <f>IF(Pay_Num&lt;&gt;"",Scheduled_Monthly_Payment,"")</f>
        <v>71560.087675010276</v>
      </c>
      <c r="E41" s="71">
        <f>IF(AND(Pay_Num&lt;&gt;"",Sched_Pay+Scheduled_Extra_Payments&lt;Beg_Bal),Scheduled_Extra_Payments,IF(AND(Pay_Num&lt;&gt;"",Beg_Bal-Sched_Pay&gt;0),Beg_Bal-Sched_Pay,IF(Pay_Num&lt;&gt;"",0,"")))</f>
        <v>0</v>
      </c>
      <c r="F41" s="70">
        <f>IF(AND(Pay_Num&lt;&gt;"",Sched_Pay+Extra_Pay&lt;Beg_Bal),Sched_Pay+Extra_Pay,IF(Pay_Num&lt;&gt;"",Beg_Bal,""))</f>
        <v>0</v>
      </c>
      <c r="G41" s="70">
        <f>IF(Pay_Num&lt;&gt;"",Total_Pay-Int,"")</f>
        <v>0</v>
      </c>
      <c r="H41" s="70">
        <f>IF(Pay_Num&lt;&gt;"",Beg_Bal*Interest_Rate/Num_Pmt_Per_Year,"")</f>
        <v>0</v>
      </c>
      <c r="I41" s="70">
        <f>IF(AND(Pay_Num&lt;&gt;"",Sched_Pay+Extra_Pay&lt;Beg_Bal),Beg_Bal-Princ,IF(Pay_Num&lt;&gt;"",0,""))</f>
        <v>0</v>
      </c>
      <c r="J41" s="70">
        <f>SUM($H$18:$H41)</f>
        <v>431201.75350020552</v>
      </c>
    </row>
    <row r="42" spans="1:10" x14ac:dyDescent="0.3">
      <c r="A42" s="36">
        <f>IF(Values_Entered,A41+1,"")</f>
        <v>25</v>
      </c>
      <c r="B42" s="35">
        <f>IF(Pay_Num&lt;&gt;"",DATE(YEAR(Loan_Start),MONTH(Loan_Start)+(Pay_Num)*12/Num_Pmt_Per_Year,DAY(Loan_Start)),"")</f>
        <v>48469</v>
      </c>
      <c r="C42" s="70">
        <f>IF(Pay_Num&lt;&gt;"",I41,"")</f>
        <v>0</v>
      </c>
      <c r="D42" s="70">
        <f>IF(Pay_Num&lt;&gt;"",Scheduled_Monthly_Payment,"")</f>
        <v>71560.087675010276</v>
      </c>
      <c r="E42" s="71">
        <f>IF(AND(Pay_Num&lt;&gt;"",Sched_Pay+Scheduled_Extra_Payments&lt;Beg_Bal),Scheduled_Extra_Payments,IF(AND(Pay_Num&lt;&gt;"",Beg_Bal-Sched_Pay&gt;0),Beg_Bal-Sched_Pay,IF(Pay_Num&lt;&gt;"",0,"")))</f>
        <v>0</v>
      </c>
      <c r="F42" s="70">
        <f>IF(AND(Pay_Num&lt;&gt;"",Sched_Pay+Extra_Pay&lt;Beg_Bal),Sched_Pay+Extra_Pay,IF(Pay_Num&lt;&gt;"",Beg_Bal,""))</f>
        <v>0</v>
      </c>
      <c r="G42" s="70">
        <f>IF(Pay_Num&lt;&gt;"",Total_Pay-Int,"")</f>
        <v>0</v>
      </c>
      <c r="H42" s="70">
        <f>IF(Pay_Num&lt;&gt;"",Beg_Bal*Interest_Rate/Num_Pmt_Per_Year,"")</f>
        <v>0</v>
      </c>
      <c r="I42" s="70">
        <f>IF(AND(Pay_Num&lt;&gt;"",Sched_Pay+Extra_Pay&lt;Beg_Bal),Beg_Bal-Princ,IF(Pay_Num&lt;&gt;"",0,""))</f>
        <v>0</v>
      </c>
      <c r="J42" s="70">
        <f>SUM($H$18:$H42)</f>
        <v>431201.75350020552</v>
      </c>
    </row>
    <row r="43" spans="1:10" x14ac:dyDescent="0.3">
      <c r="A43" s="36">
        <f>IF(Values_Entered,A42+1,"")</f>
        <v>26</v>
      </c>
      <c r="B43" s="35">
        <f>IF(Pay_Num&lt;&gt;"",DATE(YEAR(Loan_Start),MONTH(Loan_Start)+(Pay_Num)*12/Num_Pmt_Per_Year,DAY(Loan_Start)),"")</f>
        <v>48560</v>
      </c>
      <c r="C43" s="70">
        <f>IF(Pay_Num&lt;&gt;"",I42,"")</f>
        <v>0</v>
      </c>
      <c r="D43" s="70">
        <f>IF(Pay_Num&lt;&gt;"",Scheduled_Monthly_Payment,"")</f>
        <v>71560.087675010276</v>
      </c>
      <c r="E43" s="71">
        <f>IF(AND(Pay_Num&lt;&gt;"",Sched_Pay+Scheduled_Extra_Payments&lt;Beg_Bal),Scheduled_Extra_Payments,IF(AND(Pay_Num&lt;&gt;"",Beg_Bal-Sched_Pay&gt;0),Beg_Bal-Sched_Pay,IF(Pay_Num&lt;&gt;"",0,"")))</f>
        <v>0</v>
      </c>
      <c r="F43" s="70">
        <f>IF(AND(Pay_Num&lt;&gt;"",Sched_Pay+Extra_Pay&lt;Beg_Bal),Sched_Pay+Extra_Pay,IF(Pay_Num&lt;&gt;"",Beg_Bal,""))</f>
        <v>0</v>
      </c>
      <c r="G43" s="70">
        <f>IF(Pay_Num&lt;&gt;"",Total_Pay-Int,"")</f>
        <v>0</v>
      </c>
      <c r="H43" s="70">
        <f>IF(Pay_Num&lt;&gt;"",Beg_Bal*Interest_Rate/Num_Pmt_Per_Year,"")</f>
        <v>0</v>
      </c>
      <c r="I43" s="70">
        <f>IF(AND(Pay_Num&lt;&gt;"",Sched_Pay+Extra_Pay&lt;Beg_Bal),Beg_Bal-Princ,IF(Pay_Num&lt;&gt;"",0,""))</f>
        <v>0</v>
      </c>
      <c r="J43" s="70">
        <f>SUM($H$18:$H43)</f>
        <v>431201.75350020552</v>
      </c>
    </row>
    <row r="44" spans="1:10" x14ac:dyDescent="0.3">
      <c r="A44" s="36">
        <f>IF(Values_Entered,A43+1,"")</f>
        <v>27</v>
      </c>
      <c r="B44" s="35">
        <f>IF(Pay_Num&lt;&gt;"",DATE(YEAR(Loan_Start),MONTH(Loan_Start)+(Pay_Num)*12/Num_Pmt_Per_Year,DAY(Loan_Start)),"")</f>
        <v>48650</v>
      </c>
      <c r="C44" s="70">
        <f>IF(Pay_Num&lt;&gt;"",I43,"")</f>
        <v>0</v>
      </c>
      <c r="D44" s="70">
        <f>IF(Pay_Num&lt;&gt;"",Scheduled_Monthly_Payment,"")</f>
        <v>71560.087675010276</v>
      </c>
      <c r="E44" s="71">
        <f>IF(AND(Pay_Num&lt;&gt;"",Sched_Pay+Scheduled_Extra_Payments&lt;Beg_Bal),Scheduled_Extra_Payments,IF(AND(Pay_Num&lt;&gt;"",Beg_Bal-Sched_Pay&gt;0),Beg_Bal-Sched_Pay,IF(Pay_Num&lt;&gt;"",0,"")))</f>
        <v>0</v>
      </c>
      <c r="F44" s="70">
        <f>IF(AND(Pay_Num&lt;&gt;"",Sched_Pay+Extra_Pay&lt;Beg_Bal),Sched_Pay+Extra_Pay,IF(Pay_Num&lt;&gt;"",Beg_Bal,""))</f>
        <v>0</v>
      </c>
      <c r="G44" s="70">
        <f>IF(Pay_Num&lt;&gt;"",Total_Pay-Int,"")</f>
        <v>0</v>
      </c>
      <c r="H44" s="70">
        <f>IF(Pay_Num&lt;&gt;"",Beg_Bal*Interest_Rate/Num_Pmt_Per_Year,"")</f>
        <v>0</v>
      </c>
      <c r="I44" s="70">
        <f>IF(AND(Pay_Num&lt;&gt;"",Sched_Pay+Extra_Pay&lt;Beg_Bal),Beg_Bal-Princ,IF(Pay_Num&lt;&gt;"",0,""))</f>
        <v>0</v>
      </c>
      <c r="J44" s="70">
        <f>SUM($H$18:$H44)</f>
        <v>431201.75350020552</v>
      </c>
    </row>
    <row r="45" spans="1:10" x14ac:dyDescent="0.3">
      <c r="A45" s="36">
        <f>IF(Values_Entered,A44+1,"")</f>
        <v>28</v>
      </c>
      <c r="B45" s="35">
        <f>IF(Pay_Num&lt;&gt;"",DATE(YEAR(Loan_Start),MONTH(Loan_Start)+(Pay_Num)*12/Num_Pmt_Per_Year,DAY(Loan_Start)),"")</f>
        <v>48742</v>
      </c>
      <c r="C45" s="70">
        <f>IF(Pay_Num&lt;&gt;"",I44,"")</f>
        <v>0</v>
      </c>
      <c r="D45" s="70">
        <f>IF(Pay_Num&lt;&gt;"",Scheduled_Monthly_Payment,"")</f>
        <v>71560.087675010276</v>
      </c>
      <c r="E45" s="71">
        <f>IF(AND(Pay_Num&lt;&gt;"",Sched_Pay+Scheduled_Extra_Payments&lt;Beg_Bal),Scheduled_Extra_Payments,IF(AND(Pay_Num&lt;&gt;"",Beg_Bal-Sched_Pay&gt;0),Beg_Bal-Sched_Pay,IF(Pay_Num&lt;&gt;"",0,"")))</f>
        <v>0</v>
      </c>
      <c r="F45" s="70">
        <f>IF(AND(Pay_Num&lt;&gt;"",Sched_Pay+Extra_Pay&lt;Beg_Bal),Sched_Pay+Extra_Pay,IF(Pay_Num&lt;&gt;"",Beg_Bal,""))</f>
        <v>0</v>
      </c>
      <c r="G45" s="70">
        <f>IF(Pay_Num&lt;&gt;"",Total_Pay-Int,"")</f>
        <v>0</v>
      </c>
      <c r="H45" s="70">
        <f>IF(Pay_Num&lt;&gt;"",Beg_Bal*Interest_Rate/Num_Pmt_Per_Year,"")</f>
        <v>0</v>
      </c>
      <c r="I45" s="70">
        <f>IF(AND(Pay_Num&lt;&gt;"",Sched_Pay+Extra_Pay&lt;Beg_Bal),Beg_Bal-Princ,IF(Pay_Num&lt;&gt;"",0,""))</f>
        <v>0</v>
      </c>
      <c r="J45" s="70">
        <f>SUM($H$18:$H45)</f>
        <v>431201.75350020552</v>
      </c>
    </row>
    <row r="46" spans="1:10" x14ac:dyDescent="0.3">
      <c r="A46" s="36">
        <f>IF(Values_Entered,A45+1,"")</f>
        <v>29</v>
      </c>
      <c r="B46" s="35">
        <f>IF(Pay_Num&lt;&gt;"",DATE(YEAR(Loan_Start),MONTH(Loan_Start)+(Pay_Num)*12/Num_Pmt_Per_Year,DAY(Loan_Start)),"")</f>
        <v>48834</v>
      </c>
      <c r="C46" s="70">
        <f>IF(Pay_Num&lt;&gt;"",I45,"")</f>
        <v>0</v>
      </c>
      <c r="D46" s="70">
        <f>IF(Pay_Num&lt;&gt;"",Scheduled_Monthly_Payment,"")</f>
        <v>71560.087675010276</v>
      </c>
      <c r="E46" s="71">
        <f>IF(AND(Pay_Num&lt;&gt;"",Sched_Pay+Scheduled_Extra_Payments&lt;Beg_Bal),Scheduled_Extra_Payments,IF(AND(Pay_Num&lt;&gt;"",Beg_Bal-Sched_Pay&gt;0),Beg_Bal-Sched_Pay,IF(Pay_Num&lt;&gt;"",0,"")))</f>
        <v>0</v>
      </c>
      <c r="F46" s="70">
        <f>IF(AND(Pay_Num&lt;&gt;"",Sched_Pay+Extra_Pay&lt;Beg_Bal),Sched_Pay+Extra_Pay,IF(Pay_Num&lt;&gt;"",Beg_Bal,""))</f>
        <v>0</v>
      </c>
      <c r="G46" s="70">
        <f>IF(Pay_Num&lt;&gt;"",Total_Pay-Int,"")</f>
        <v>0</v>
      </c>
      <c r="H46" s="70">
        <f>IF(Pay_Num&lt;&gt;"",Beg_Bal*Interest_Rate/Num_Pmt_Per_Year,"")</f>
        <v>0</v>
      </c>
      <c r="I46" s="70">
        <f>IF(AND(Pay_Num&lt;&gt;"",Sched_Pay+Extra_Pay&lt;Beg_Bal),Beg_Bal-Princ,IF(Pay_Num&lt;&gt;"",0,""))</f>
        <v>0</v>
      </c>
      <c r="J46" s="70">
        <f>SUM($H$18:$H46)</f>
        <v>431201.75350020552</v>
      </c>
    </row>
    <row r="47" spans="1:10" x14ac:dyDescent="0.3">
      <c r="A47" s="36">
        <f>IF(Values_Entered,A46+1,"")</f>
        <v>30</v>
      </c>
      <c r="B47" s="35">
        <f>IF(Pay_Num&lt;&gt;"",DATE(YEAR(Loan_Start),MONTH(Loan_Start)+(Pay_Num)*12/Num_Pmt_Per_Year,DAY(Loan_Start)),"")</f>
        <v>48925</v>
      </c>
      <c r="C47" s="70">
        <f>IF(Pay_Num&lt;&gt;"",I46,"")</f>
        <v>0</v>
      </c>
      <c r="D47" s="70">
        <f>IF(Pay_Num&lt;&gt;"",Scheduled_Monthly_Payment,"")</f>
        <v>71560.087675010276</v>
      </c>
      <c r="E47" s="71">
        <f>IF(AND(Pay_Num&lt;&gt;"",Sched_Pay+Scheduled_Extra_Payments&lt;Beg_Bal),Scheduled_Extra_Payments,IF(AND(Pay_Num&lt;&gt;"",Beg_Bal-Sched_Pay&gt;0),Beg_Bal-Sched_Pay,IF(Pay_Num&lt;&gt;"",0,"")))</f>
        <v>0</v>
      </c>
      <c r="F47" s="70">
        <f>IF(AND(Pay_Num&lt;&gt;"",Sched_Pay+Extra_Pay&lt;Beg_Bal),Sched_Pay+Extra_Pay,IF(Pay_Num&lt;&gt;"",Beg_Bal,""))</f>
        <v>0</v>
      </c>
      <c r="G47" s="70">
        <f>IF(Pay_Num&lt;&gt;"",Total_Pay-Int,"")</f>
        <v>0</v>
      </c>
      <c r="H47" s="70">
        <f>IF(Pay_Num&lt;&gt;"",Beg_Bal*Interest_Rate/Num_Pmt_Per_Year,"")</f>
        <v>0</v>
      </c>
      <c r="I47" s="70">
        <f>IF(AND(Pay_Num&lt;&gt;"",Sched_Pay+Extra_Pay&lt;Beg_Bal),Beg_Bal-Princ,IF(Pay_Num&lt;&gt;"",0,""))</f>
        <v>0</v>
      </c>
      <c r="J47" s="70">
        <f>SUM($H$18:$H47)</f>
        <v>431201.75350020552</v>
      </c>
    </row>
    <row r="48" spans="1:10" x14ac:dyDescent="0.3">
      <c r="A48" s="36">
        <f>IF(Values_Entered,A47+1,"")</f>
        <v>31</v>
      </c>
      <c r="B48" s="35">
        <f>IF(Pay_Num&lt;&gt;"",DATE(YEAR(Loan_Start),MONTH(Loan_Start)+(Pay_Num)*12/Num_Pmt_Per_Year,DAY(Loan_Start)),"")</f>
        <v>49015</v>
      </c>
      <c r="C48" s="70">
        <f>IF(Pay_Num&lt;&gt;"",I47,"")</f>
        <v>0</v>
      </c>
      <c r="D48" s="70">
        <f>IF(Pay_Num&lt;&gt;"",Scheduled_Monthly_Payment,"")</f>
        <v>71560.087675010276</v>
      </c>
      <c r="E48" s="71">
        <f>IF(AND(Pay_Num&lt;&gt;"",Sched_Pay+Scheduled_Extra_Payments&lt;Beg_Bal),Scheduled_Extra_Payments,IF(AND(Pay_Num&lt;&gt;"",Beg_Bal-Sched_Pay&gt;0),Beg_Bal-Sched_Pay,IF(Pay_Num&lt;&gt;"",0,"")))</f>
        <v>0</v>
      </c>
      <c r="F48" s="70">
        <f>IF(AND(Pay_Num&lt;&gt;"",Sched_Pay+Extra_Pay&lt;Beg_Bal),Sched_Pay+Extra_Pay,IF(Pay_Num&lt;&gt;"",Beg_Bal,""))</f>
        <v>0</v>
      </c>
      <c r="G48" s="70">
        <f>IF(Pay_Num&lt;&gt;"",Total_Pay-Int,"")</f>
        <v>0</v>
      </c>
      <c r="H48" s="70">
        <f>IF(Pay_Num&lt;&gt;"",Beg_Bal*Interest_Rate/Num_Pmt_Per_Year,"")</f>
        <v>0</v>
      </c>
      <c r="I48" s="70">
        <f>IF(AND(Pay_Num&lt;&gt;"",Sched_Pay+Extra_Pay&lt;Beg_Bal),Beg_Bal-Princ,IF(Pay_Num&lt;&gt;"",0,""))</f>
        <v>0</v>
      </c>
      <c r="J48" s="70">
        <f>SUM($H$18:$H48)</f>
        <v>431201.75350020552</v>
      </c>
    </row>
    <row r="49" spans="1:10" x14ac:dyDescent="0.3">
      <c r="A49" s="36">
        <f>IF(Values_Entered,A48+1,"")</f>
        <v>32</v>
      </c>
      <c r="B49" s="35">
        <f>IF(Pay_Num&lt;&gt;"",DATE(YEAR(Loan_Start),MONTH(Loan_Start)+(Pay_Num)*12/Num_Pmt_Per_Year,DAY(Loan_Start)),"")</f>
        <v>49107</v>
      </c>
      <c r="C49" s="70">
        <f>IF(Pay_Num&lt;&gt;"",I48,"")</f>
        <v>0</v>
      </c>
      <c r="D49" s="70">
        <f>IF(Pay_Num&lt;&gt;"",Scheduled_Monthly_Payment,"")</f>
        <v>71560.087675010276</v>
      </c>
      <c r="E49" s="71">
        <f>IF(AND(Pay_Num&lt;&gt;"",Sched_Pay+Scheduled_Extra_Payments&lt;Beg_Bal),Scheduled_Extra_Payments,IF(AND(Pay_Num&lt;&gt;"",Beg_Bal-Sched_Pay&gt;0),Beg_Bal-Sched_Pay,IF(Pay_Num&lt;&gt;"",0,"")))</f>
        <v>0</v>
      </c>
      <c r="F49" s="70">
        <f>IF(AND(Pay_Num&lt;&gt;"",Sched_Pay+Extra_Pay&lt;Beg_Bal),Sched_Pay+Extra_Pay,IF(Pay_Num&lt;&gt;"",Beg_Bal,""))</f>
        <v>0</v>
      </c>
      <c r="G49" s="70">
        <f>IF(Pay_Num&lt;&gt;"",Total_Pay-Int,"")</f>
        <v>0</v>
      </c>
      <c r="H49" s="70">
        <f>IF(Pay_Num&lt;&gt;"",Beg_Bal*Interest_Rate/Num_Pmt_Per_Year,"")</f>
        <v>0</v>
      </c>
      <c r="I49" s="70">
        <f>IF(AND(Pay_Num&lt;&gt;"",Sched_Pay+Extra_Pay&lt;Beg_Bal),Beg_Bal-Princ,IF(Pay_Num&lt;&gt;"",0,""))</f>
        <v>0</v>
      </c>
      <c r="J49" s="70">
        <f>SUM($H$18:$H49)</f>
        <v>431201.75350020552</v>
      </c>
    </row>
    <row r="50" spans="1:10" x14ac:dyDescent="0.3">
      <c r="A50" s="36">
        <f>IF(Values_Entered,A49+1,"")</f>
        <v>33</v>
      </c>
      <c r="B50" s="35">
        <f>IF(Pay_Num&lt;&gt;"",DATE(YEAR(Loan_Start),MONTH(Loan_Start)+(Pay_Num)*12/Num_Pmt_Per_Year,DAY(Loan_Start)),"")</f>
        <v>49199</v>
      </c>
      <c r="C50" s="70">
        <f>IF(Pay_Num&lt;&gt;"",I49,"")</f>
        <v>0</v>
      </c>
      <c r="D50" s="70">
        <f>IF(Pay_Num&lt;&gt;"",Scheduled_Monthly_Payment,"")</f>
        <v>71560.087675010276</v>
      </c>
      <c r="E50" s="71">
        <f>IF(AND(Pay_Num&lt;&gt;"",Sched_Pay+Scheduled_Extra_Payments&lt;Beg_Bal),Scheduled_Extra_Payments,IF(AND(Pay_Num&lt;&gt;"",Beg_Bal-Sched_Pay&gt;0),Beg_Bal-Sched_Pay,IF(Pay_Num&lt;&gt;"",0,"")))</f>
        <v>0</v>
      </c>
      <c r="F50" s="70">
        <f>IF(AND(Pay_Num&lt;&gt;"",Sched_Pay+Extra_Pay&lt;Beg_Bal),Sched_Pay+Extra_Pay,IF(Pay_Num&lt;&gt;"",Beg_Bal,""))</f>
        <v>0</v>
      </c>
      <c r="G50" s="70">
        <f>IF(Pay_Num&lt;&gt;"",Total_Pay-Int,"")</f>
        <v>0</v>
      </c>
      <c r="H50" s="70">
        <f>IF(Pay_Num&lt;&gt;"",Beg_Bal*Interest_Rate/Num_Pmt_Per_Year,"")</f>
        <v>0</v>
      </c>
      <c r="I50" s="70">
        <f>IF(AND(Pay_Num&lt;&gt;"",Sched_Pay+Extra_Pay&lt;Beg_Bal),Beg_Bal-Princ,IF(Pay_Num&lt;&gt;"",0,""))</f>
        <v>0</v>
      </c>
      <c r="J50" s="70">
        <f>SUM($H$18:$H50)</f>
        <v>431201.75350020552</v>
      </c>
    </row>
    <row r="51" spans="1:10" x14ac:dyDescent="0.3">
      <c r="A51" s="36">
        <f>IF(Values_Entered,A50+1,"")</f>
        <v>34</v>
      </c>
      <c r="B51" s="35">
        <f>IF(Pay_Num&lt;&gt;"",DATE(YEAR(Loan_Start),MONTH(Loan_Start)+(Pay_Num)*12/Num_Pmt_Per_Year,DAY(Loan_Start)),"")</f>
        <v>49290</v>
      </c>
      <c r="C51" s="70">
        <f>IF(Pay_Num&lt;&gt;"",I50,"")</f>
        <v>0</v>
      </c>
      <c r="D51" s="70">
        <f>IF(Pay_Num&lt;&gt;"",Scheduled_Monthly_Payment,"")</f>
        <v>71560.087675010276</v>
      </c>
      <c r="E51" s="71">
        <f>IF(AND(Pay_Num&lt;&gt;"",Sched_Pay+Scheduled_Extra_Payments&lt;Beg_Bal),Scheduled_Extra_Payments,IF(AND(Pay_Num&lt;&gt;"",Beg_Bal-Sched_Pay&gt;0),Beg_Bal-Sched_Pay,IF(Pay_Num&lt;&gt;"",0,"")))</f>
        <v>0</v>
      </c>
      <c r="F51" s="70">
        <f>IF(AND(Pay_Num&lt;&gt;"",Sched_Pay+Extra_Pay&lt;Beg_Bal),Sched_Pay+Extra_Pay,IF(Pay_Num&lt;&gt;"",Beg_Bal,""))</f>
        <v>0</v>
      </c>
      <c r="G51" s="70">
        <f>IF(Pay_Num&lt;&gt;"",Total_Pay-Int,"")</f>
        <v>0</v>
      </c>
      <c r="H51" s="70">
        <f>IF(Pay_Num&lt;&gt;"",Beg_Bal*Interest_Rate/Num_Pmt_Per_Year,"")</f>
        <v>0</v>
      </c>
      <c r="I51" s="70">
        <f>IF(AND(Pay_Num&lt;&gt;"",Sched_Pay+Extra_Pay&lt;Beg_Bal),Beg_Bal-Princ,IF(Pay_Num&lt;&gt;"",0,""))</f>
        <v>0</v>
      </c>
      <c r="J51" s="70">
        <f>SUM($H$18:$H51)</f>
        <v>431201.75350020552</v>
      </c>
    </row>
    <row r="52" spans="1:10" x14ac:dyDescent="0.3">
      <c r="A52" s="36">
        <f>IF(Values_Entered,A51+1,"")</f>
        <v>35</v>
      </c>
      <c r="B52" s="35">
        <f>IF(Pay_Num&lt;&gt;"",DATE(YEAR(Loan_Start),MONTH(Loan_Start)+(Pay_Num)*12/Num_Pmt_Per_Year,DAY(Loan_Start)),"")</f>
        <v>49380</v>
      </c>
      <c r="C52" s="70">
        <f>IF(Pay_Num&lt;&gt;"",I51,"")</f>
        <v>0</v>
      </c>
      <c r="D52" s="70">
        <f>IF(Pay_Num&lt;&gt;"",Scheduled_Monthly_Payment,"")</f>
        <v>71560.087675010276</v>
      </c>
      <c r="E52" s="71">
        <f>IF(AND(Pay_Num&lt;&gt;"",Sched_Pay+Scheduled_Extra_Payments&lt;Beg_Bal),Scheduled_Extra_Payments,IF(AND(Pay_Num&lt;&gt;"",Beg_Bal-Sched_Pay&gt;0),Beg_Bal-Sched_Pay,IF(Pay_Num&lt;&gt;"",0,"")))</f>
        <v>0</v>
      </c>
      <c r="F52" s="70">
        <f>IF(AND(Pay_Num&lt;&gt;"",Sched_Pay+Extra_Pay&lt;Beg_Bal),Sched_Pay+Extra_Pay,IF(Pay_Num&lt;&gt;"",Beg_Bal,""))</f>
        <v>0</v>
      </c>
      <c r="G52" s="70">
        <f>IF(Pay_Num&lt;&gt;"",Total_Pay-Int,"")</f>
        <v>0</v>
      </c>
      <c r="H52" s="70">
        <f>IF(Pay_Num&lt;&gt;"",Beg_Bal*Interest_Rate/Num_Pmt_Per_Year,"")</f>
        <v>0</v>
      </c>
      <c r="I52" s="70">
        <f>IF(AND(Pay_Num&lt;&gt;"",Sched_Pay+Extra_Pay&lt;Beg_Bal),Beg_Bal-Princ,IF(Pay_Num&lt;&gt;"",0,""))</f>
        <v>0</v>
      </c>
      <c r="J52" s="70">
        <f>SUM($H$18:$H52)</f>
        <v>431201.75350020552</v>
      </c>
    </row>
    <row r="53" spans="1:10" x14ac:dyDescent="0.3">
      <c r="A53" s="36">
        <f>IF(Values_Entered,A52+1,"")</f>
        <v>36</v>
      </c>
      <c r="B53" s="35">
        <f>IF(Pay_Num&lt;&gt;"",DATE(YEAR(Loan_Start),MONTH(Loan_Start)+(Pay_Num)*12/Num_Pmt_Per_Year,DAY(Loan_Start)),"")</f>
        <v>49472</v>
      </c>
      <c r="C53" s="70">
        <f>IF(Pay_Num&lt;&gt;"",I52,"")</f>
        <v>0</v>
      </c>
      <c r="D53" s="70">
        <f>IF(Pay_Num&lt;&gt;"",Scheduled_Monthly_Payment,"")</f>
        <v>71560.087675010276</v>
      </c>
      <c r="E53" s="71">
        <f>IF(AND(Pay_Num&lt;&gt;"",Sched_Pay+Scheduled_Extra_Payments&lt;Beg_Bal),Scheduled_Extra_Payments,IF(AND(Pay_Num&lt;&gt;"",Beg_Bal-Sched_Pay&gt;0),Beg_Bal-Sched_Pay,IF(Pay_Num&lt;&gt;"",0,"")))</f>
        <v>0</v>
      </c>
      <c r="F53" s="70">
        <f>IF(AND(Pay_Num&lt;&gt;"",Sched_Pay+Extra_Pay&lt;Beg_Bal),Sched_Pay+Extra_Pay,IF(Pay_Num&lt;&gt;"",Beg_Bal,""))</f>
        <v>0</v>
      </c>
      <c r="G53" s="70">
        <f>IF(Pay_Num&lt;&gt;"",Total_Pay-Int,"")</f>
        <v>0</v>
      </c>
      <c r="H53" s="70">
        <f>IF(Pay_Num&lt;&gt;"",Beg_Bal*Interest_Rate/Num_Pmt_Per_Year,"")</f>
        <v>0</v>
      </c>
      <c r="I53" s="70">
        <f>IF(AND(Pay_Num&lt;&gt;"",Sched_Pay+Extra_Pay&lt;Beg_Bal),Beg_Bal-Princ,IF(Pay_Num&lt;&gt;"",0,""))</f>
        <v>0</v>
      </c>
      <c r="J53" s="70">
        <f>SUM($H$18:$H53)</f>
        <v>431201.75350020552</v>
      </c>
    </row>
    <row r="54" spans="1:10" x14ac:dyDescent="0.3">
      <c r="A54" s="36">
        <f>IF(Values_Entered,A53+1,"")</f>
        <v>37</v>
      </c>
      <c r="B54" s="35">
        <f>IF(Pay_Num&lt;&gt;"",DATE(YEAR(Loan_Start),MONTH(Loan_Start)+(Pay_Num)*12/Num_Pmt_Per_Year,DAY(Loan_Start)),"")</f>
        <v>49564</v>
      </c>
      <c r="C54" s="70">
        <f>IF(Pay_Num&lt;&gt;"",I53,"")</f>
        <v>0</v>
      </c>
      <c r="D54" s="70">
        <f>IF(Pay_Num&lt;&gt;"",Scheduled_Monthly_Payment,"")</f>
        <v>71560.087675010276</v>
      </c>
      <c r="E54" s="71">
        <f>IF(AND(Pay_Num&lt;&gt;"",Sched_Pay+Scheduled_Extra_Payments&lt;Beg_Bal),Scheduled_Extra_Payments,IF(AND(Pay_Num&lt;&gt;"",Beg_Bal-Sched_Pay&gt;0),Beg_Bal-Sched_Pay,IF(Pay_Num&lt;&gt;"",0,"")))</f>
        <v>0</v>
      </c>
      <c r="F54" s="70">
        <f>IF(AND(Pay_Num&lt;&gt;"",Sched_Pay+Extra_Pay&lt;Beg_Bal),Sched_Pay+Extra_Pay,IF(Pay_Num&lt;&gt;"",Beg_Bal,""))</f>
        <v>0</v>
      </c>
      <c r="G54" s="70">
        <f>IF(Pay_Num&lt;&gt;"",Total_Pay-Int,"")</f>
        <v>0</v>
      </c>
      <c r="H54" s="70">
        <f>IF(Pay_Num&lt;&gt;"",Beg_Bal*Interest_Rate/Num_Pmt_Per_Year,"")</f>
        <v>0</v>
      </c>
      <c r="I54" s="70">
        <f>IF(AND(Pay_Num&lt;&gt;"",Sched_Pay+Extra_Pay&lt;Beg_Bal),Beg_Bal-Princ,IF(Pay_Num&lt;&gt;"",0,""))</f>
        <v>0</v>
      </c>
      <c r="J54" s="70">
        <f>SUM($H$18:$H54)</f>
        <v>431201.75350020552</v>
      </c>
    </row>
    <row r="55" spans="1:10" x14ac:dyDescent="0.3">
      <c r="A55" s="36">
        <f>IF(Values_Entered,A54+1,"")</f>
        <v>38</v>
      </c>
      <c r="B55" s="35">
        <f>IF(Pay_Num&lt;&gt;"",DATE(YEAR(Loan_Start),MONTH(Loan_Start)+(Pay_Num)*12/Num_Pmt_Per_Year,DAY(Loan_Start)),"")</f>
        <v>49655</v>
      </c>
      <c r="C55" s="70">
        <f>IF(Pay_Num&lt;&gt;"",I54,"")</f>
        <v>0</v>
      </c>
      <c r="D55" s="70">
        <f>IF(Pay_Num&lt;&gt;"",Scheduled_Monthly_Payment,"")</f>
        <v>71560.087675010276</v>
      </c>
      <c r="E55" s="71">
        <f>IF(AND(Pay_Num&lt;&gt;"",Sched_Pay+Scheduled_Extra_Payments&lt;Beg_Bal),Scheduled_Extra_Payments,IF(AND(Pay_Num&lt;&gt;"",Beg_Bal-Sched_Pay&gt;0),Beg_Bal-Sched_Pay,IF(Pay_Num&lt;&gt;"",0,"")))</f>
        <v>0</v>
      </c>
      <c r="F55" s="70">
        <f>IF(AND(Pay_Num&lt;&gt;"",Sched_Pay+Extra_Pay&lt;Beg_Bal),Sched_Pay+Extra_Pay,IF(Pay_Num&lt;&gt;"",Beg_Bal,""))</f>
        <v>0</v>
      </c>
      <c r="G55" s="70">
        <f>IF(Pay_Num&lt;&gt;"",Total_Pay-Int,"")</f>
        <v>0</v>
      </c>
      <c r="H55" s="70">
        <f>IF(Pay_Num&lt;&gt;"",Beg_Bal*Interest_Rate/Num_Pmt_Per_Year,"")</f>
        <v>0</v>
      </c>
      <c r="I55" s="70">
        <f>IF(AND(Pay_Num&lt;&gt;"",Sched_Pay+Extra_Pay&lt;Beg_Bal),Beg_Bal-Princ,IF(Pay_Num&lt;&gt;"",0,""))</f>
        <v>0</v>
      </c>
      <c r="J55" s="70">
        <f>SUM($H$18:$H55)</f>
        <v>431201.75350020552</v>
      </c>
    </row>
    <row r="56" spans="1:10" x14ac:dyDescent="0.3">
      <c r="A56" s="36">
        <f>IF(Values_Entered,A55+1,"")</f>
        <v>39</v>
      </c>
      <c r="B56" s="35">
        <f>IF(Pay_Num&lt;&gt;"",DATE(YEAR(Loan_Start),MONTH(Loan_Start)+(Pay_Num)*12/Num_Pmt_Per_Year,DAY(Loan_Start)),"")</f>
        <v>49746</v>
      </c>
      <c r="C56" s="70">
        <f>IF(Pay_Num&lt;&gt;"",I55,"")</f>
        <v>0</v>
      </c>
      <c r="D56" s="70">
        <f>IF(Pay_Num&lt;&gt;"",Scheduled_Monthly_Payment,"")</f>
        <v>71560.087675010276</v>
      </c>
      <c r="E56" s="71">
        <f>IF(AND(Pay_Num&lt;&gt;"",Sched_Pay+Scheduled_Extra_Payments&lt;Beg_Bal),Scheduled_Extra_Payments,IF(AND(Pay_Num&lt;&gt;"",Beg_Bal-Sched_Pay&gt;0),Beg_Bal-Sched_Pay,IF(Pay_Num&lt;&gt;"",0,"")))</f>
        <v>0</v>
      </c>
      <c r="F56" s="70">
        <f>IF(AND(Pay_Num&lt;&gt;"",Sched_Pay+Extra_Pay&lt;Beg_Bal),Sched_Pay+Extra_Pay,IF(Pay_Num&lt;&gt;"",Beg_Bal,""))</f>
        <v>0</v>
      </c>
      <c r="G56" s="70">
        <f>IF(Pay_Num&lt;&gt;"",Total_Pay-Int,"")</f>
        <v>0</v>
      </c>
      <c r="H56" s="70">
        <f>IF(Pay_Num&lt;&gt;"",Beg_Bal*Interest_Rate/Num_Pmt_Per_Year,"")</f>
        <v>0</v>
      </c>
      <c r="I56" s="70">
        <f>IF(AND(Pay_Num&lt;&gt;"",Sched_Pay+Extra_Pay&lt;Beg_Bal),Beg_Bal-Princ,IF(Pay_Num&lt;&gt;"",0,""))</f>
        <v>0</v>
      </c>
      <c r="J56" s="70">
        <f>SUM($H$18:$H56)</f>
        <v>431201.75350020552</v>
      </c>
    </row>
    <row r="57" spans="1:10" x14ac:dyDescent="0.3">
      <c r="A57" s="36">
        <f>IF(Values_Entered,A56+1,"")</f>
        <v>40</v>
      </c>
      <c r="B57" s="35">
        <f>IF(Pay_Num&lt;&gt;"",DATE(YEAR(Loan_Start),MONTH(Loan_Start)+(Pay_Num)*12/Num_Pmt_Per_Year,DAY(Loan_Start)),"")</f>
        <v>49838</v>
      </c>
      <c r="C57" s="70">
        <f>IF(Pay_Num&lt;&gt;"",I56,"")</f>
        <v>0</v>
      </c>
      <c r="D57" s="70">
        <f>IF(Pay_Num&lt;&gt;"",Scheduled_Monthly_Payment,"")</f>
        <v>71560.087675010276</v>
      </c>
      <c r="E57" s="71">
        <f>IF(AND(Pay_Num&lt;&gt;"",Sched_Pay+Scheduled_Extra_Payments&lt;Beg_Bal),Scheduled_Extra_Payments,IF(AND(Pay_Num&lt;&gt;"",Beg_Bal-Sched_Pay&gt;0),Beg_Bal-Sched_Pay,IF(Pay_Num&lt;&gt;"",0,"")))</f>
        <v>0</v>
      </c>
      <c r="F57" s="70">
        <f>IF(AND(Pay_Num&lt;&gt;"",Sched_Pay+Extra_Pay&lt;Beg_Bal),Sched_Pay+Extra_Pay,IF(Pay_Num&lt;&gt;"",Beg_Bal,""))</f>
        <v>0</v>
      </c>
      <c r="G57" s="70">
        <f>IF(Pay_Num&lt;&gt;"",Total_Pay-Int,"")</f>
        <v>0</v>
      </c>
      <c r="H57" s="70">
        <f>IF(Pay_Num&lt;&gt;"",Beg_Bal*Interest_Rate/Num_Pmt_Per_Year,"")</f>
        <v>0</v>
      </c>
      <c r="I57" s="70">
        <f>IF(AND(Pay_Num&lt;&gt;"",Sched_Pay+Extra_Pay&lt;Beg_Bal),Beg_Bal-Princ,IF(Pay_Num&lt;&gt;"",0,""))</f>
        <v>0</v>
      </c>
      <c r="J57" s="70">
        <f>SUM($H$18:$H57)</f>
        <v>431201.75350020552</v>
      </c>
    </row>
    <row r="58" spans="1:10" x14ac:dyDescent="0.3">
      <c r="A58" s="36">
        <f>IF(Values_Entered,A57+1,"")</f>
        <v>41</v>
      </c>
      <c r="B58" s="35">
        <f>IF(Pay_Num&lt;&gt;"",DATE(YEAR(Loan_Start),MONTH(Loan_Start)+(Pay_Num)*12/Num_Pmt_Per_Year,DAY(Loan_Start)),"")</f>
        <v>49930</v>
      </c>
      <c r="C58" s="70">
        <f>IF(Pay_Num&lt;&gt;"",I57,"")</f>
        <v>0</v>
      </c>
      <c r="D58" s="70">
        <f>IF(Pay_Num&lt;&gt;"",Scheduled_Monthly_Payment,"")</f>
        <v>71560.087675010276</v>
      </c>
      <c r="E58" s="71">
        <f>IF(AND(Pay_Num&lt;&gt;"",Sched_Pay+Scheduled_Extra_Payments&lt;Beg_Bal),Scheduled_Extra_Payments,IF(AND(Pay_Num&lt;&gt;"",Beg_Bal-Sched_Pay&gt;0),Beg_Bal-Sched_Pay,IF(Pay_Num&lt;&gt;"",0,"")))</f>
        <v>0</v>
      </c>
      <c r="F58" s="70">
        <f>IF(AND(Pay_Num&lt;&gt;"",Sched_Pay+Extra_Pay&lt;Beg_Bal),Sched_Pay+Extra_Pay,IF(Pay_Num&lt;&gt;"",Beg_Bal,""))</f>
        <v>0</v>
      </c>
      <c r="G58" s="70">
        <f>IF(Pay_Num&lt;&gt;"",Total_Pay-Int,"")</f>
        <v>0</v>
      </c>
      <c r="H58" s="70">
        <f>IF(Pay_Num&lt;&gt;"",Beg_Bal*Interest_Rate/Num_Pmt_Per_Year,"")</f>
        <v>0</v>
      </c>
      <c r="I58" s="70">
        <f>IF(AND(Pay_Num&lt;&gt;"",Sched_Pay+Extra_Pay&lt;Beg_Bal),Beg_Bal-Princ,IF(Pay_Num&lt;&gt;"",0,""))</f>
        <v>0</v>
      </c>
      <c r="J58" s="70">
        <f>SUM($H$18:$H58)</f>
        <v>431201.75350020552</v>
      </c>
    </row>
    <row r="59" spans="1:10" x14ac:dyDescent="0.3">
      <c r="A59" s="36">
        <f>IF(Values_Entered,A58+1,"")</f>
        <v>42</v>
      </c>
      <c r="B59" s="35">
        <f>IF(Pay_Num&lt;&gt;"",DATE(YEAR(Loan_Start),MONTH(Loan_Start)+(Pay_Num)*12/Num_Pmt_Per_Year,DAY(Loan_Start)),"")</f>
        <v>50021</v>
      </c>
      <c r="C59" s="70">
        <f>IF(Pay_Num&lt;&gt;"",I58,"")</f>
        <v>0</v>
      </c>
      <c r="D59" s="70">
        <f>IF(Pay_Num&lt;&gt;"",Scheduled_Monthly_Payment,"")</f>
        <v>71560.087675010276</v>
      </c>
      <c r="E59" s="71">
        <f>IF(AND(Pay_Num&lt;&gt;"",Sched_Pay+Scheduled_Extra_Payments&lt;Beg_Bal),Scheduled_Extra_Payments,IF(AND(Pay_Num&lt;&gt;"",Beg_Bal-Sched_Pay&gt;0),Beg_Bal-Sched_Pay,IF(Pay_Num&lt;&gt;"",0,"")))</f>
        <v>0</v>
      </c>
      <c r="F59" s="70">
        <f>IF(AND(Pay_Num&lt;&gt;"",Sched_Pay+Extra_Pay&lt;Beg_Bal),Sched_Pay+Extra_Pay,IF(Pay_Num&lt;&gt;"",Beg_Bal,""))</f>
        <v>0</v>
      </c>
      <c r="G59" s="70">
        <f>IF(Pay_Num&lt;&gt;"",Total_Pay-Int,"")</f>
        <v>0</v>
      </c>
      <c r="H59" s="70">
        <f>IF(Pay_Num&lt;&gt;"",Beg_Bal*Interest_Rate/Num_Pmt_Per_Year,"")</f>
        <v>0</v>
      </c>
      <c r="I59" s="70">
        <f>IF(AND(Pay_Num&lt;&gt;"",Sched_Pay+Extra_Pay&lt;Beg_Bal),Beg_Bal-Princ,IF(Pay_Num&lt;&gt;"",0,""))</f>
        <v>0</v>
      </c>
      <c r="J59" s="70">
        <f>SUM($H$18:$H59)</f>
        <v>431201.75350020552</v>
      </c>
    </row>
    <row r="60" spans="1:10" x14ac:dyDescent="0.3">
      <c r="A60" s="36">
        <f>IF(Values_Entered,A59+1,"")</f>
        <v>43</v>
      </c>
      <c r="B60" s="35">
        <f>IF(Pay_Num&lt;&gt;"",DATE(YEAR(Loan_Start),MONTH(Loan_Start)+(Pay_Num)*12/Num_Pmt_Per_Year,DAY(Loan_Start)),"")</f>
        <v>50111</v>
      </c>
      <c r="C60" s="70">
        <f>IF(Pay_Num&lt;&gt;"",I59,"")</f>
        <v>0</v>
      </c>
      <c r="D60" s="70">
        <f>IF(Pay_Num&lt;&gt;"",Scheduled_Monthly_Payment,"")</f>
        <v>71560.087675010276</v>
      </c>
      <c r="E60" s="71">
        <f>IF(AND(Pay_Num&lt;&gt;"",Sched_Pay+Scheduled_Extra_Payments&lt;Beg_Bal),Scheduled_Extra_Payments,IF(AND(Pay_Num&lt;&gt;"",Beg_Bal-Sched_Pay&gt;0),Beg_Bal-Sched_Pay,IF(Pay_Num&lt;&gt;"",0,"")))</f>
        <v>0</v>
      </c>
      <c r="F60" s="70">
        <f>IF(AND(Pay_Num&lt;&gt;"",Sched_Pay+Extra_Pay&lt;Beg_Bal),Sched_Pay+Extra_Pay,IF(Pay_Num&lt;&gt;"",Beg_Bal,""))</f>
        <v>0</v>
      </c>
      <c r="G60" s="70">
        <f>IF(Pay_Num&lt;&gt;"",Total_Pay-Int,"")</f>
        <v>0</v>
      </c>
      <c r="H60" s="70">
        <f>IF(Pay_Num&lt;&gt;"",Beg_Bal*Interest_Rate/Num_Pmt_Per_Year,"")</f>
        <v>0</v>
      </c>
      <c r="I60" s="70">
        <f>IF(AND(Pay_Num&lt;&gt;"",Sched_Pay+Extra_Pay&lt;Beg_Bal),Beg_Bal-Princ,IF(Pay_Num&lt;&gt;"",0,""))</f>
        <v>0</v>
      </c>
      <c r="J60" s="70">
        <f>SUM($H$18:$H60)</f>
        <v>431201.75350020552</v>
      </c>
    </row>
    <row r="61" spans="1:10" x14ac:dyDescent="0.3">
      <c r="A61" s="36">
        <f>IF(Values_Entered,A60+1,"")</f>
        <v>44</v>
      </c>
      <c r="B61" s="35">
        <f>IF(Pay_Num&lt;&gt;"",DATE(YEAR(Loan_Start),MONTH(Loan_Start)+(Pay_Num)*12/Num_Pmt_Per_Year,DAY(Loan_Start)),"")</f>
        <v>50203</v>
      </c>
      <c r="C61" s="70">
        <f>IF(Pay_Num&lt;&gt;"",I60,"")</f>
        <v>0</v>
      </c>
      <c r="D61" s="70">
        <f>IF(Pay_Num&lt;&gt;"",Scheduled_Monthly_Payment,"")</f>
        <v>71560.087675010276</v>
      </c>
      <c r="E61" s="71">
        <f>IF(AND(Pay_Num&lt;&gt;"",Sched_Pay+Scheduled_Extra_Payments&lt;Beg_Bal),Scheduled_Extra_Payments,IF(AND(Pay_Num&lt;&gt;"",Beg_Bal-Sched_Pay&gt;0),Beg_Bal-Sched_Pay,IF(Pay_Num&lt;&gt;"",0,"")))</f>
        <v>0</v>
      </c>
      <c r="F61" s="70">
        <f>IF(AND(Pay_Num&lt;&gt;"",Sched_Pay+Extra_Pay&lt;Beg_Bal),Sched_Pay+Extra_Pay,IF(Pay_Num&lt;&gt;"",Beg_Bal,""))</f>
        <v>0</v>
      </c>
      <c r="G61" s="70">
        <f>IF(Pay_Num&lt;&gt;"",Total_Pay-Int,"")</f>
        <v>0</v>
      </c>
      <c r="H61" s="70">
        <f>IF(Pay_Num&lt;&gt;"",Beg_Bal*Interest_Rate/Num_Pmt_Per_Year,"")</f>
        <v>0</v>
      </c>
      <c r="I61" s="70">
        <f>IF(AND(Pay_Num&lt;&gt;"",Sched_Pay+Extra_Pay&lt;Beg_Bal),Beg_Bal-Princ,IF(Pay_Num&lt;&gt;"",0,""))</f>
        <v>0</v>
      </c>
      <c r="J61" s="70">
        <f>SUM($H$18:$H61)</f>
        <v>431201.75350020552</v>
      </c>
    </row>
    <row r="62" spans="1:10" x14ac:dyDescent="0.3">
      <c r="A62" s="36">
        <f>IF(Values_Entered,A61+1,"")</f>
        <v>45</v>
      </c>
      <c r="B62" s="35">
        <f>IF(Pay_Num&lt;&gt;"",DATE(YEAR(Loan_Start),MONTH(Loan_Start)+(Pay_Num)*12/Num_Pmt_Per_Year,DAY(Loan_Start)),"")</f>
        <v>50295</v>
      </c>
      <c r="C62" s="70">
        <f>IF(Pay_Num&lt;&gt;"",I61,"")</f>
        <v>0</v>
      </c>
      <c r="D62" s="70">
        <f>IF(Pay_Num&lt;&gt;"",Scheduled_Monthly_Payment,"")</f>
        <v>71560.087675010276</v>
      </c>
      <c r="E62" s="71">
        <f>IF(AND(Pay_Num&lt;&gt;"",Sched_Pay+Scheduled_Extra_Payments&lt;Beg_Bal),Scheduled_Extra_Payments,IF(AND(Pay_Num&lt;&gt;"",Beg_Bal-Sched_Pay&gt;0),Beg_Bal-Sched_Pay,IF(Pay_Num&lt;&gt;"",0,"")))</f>
        <v>0</v>
      </c>
      <c r="F62" s="70">
        <f>IF(AND(Pay_Num&lt;&gt;"",Sched_Pay+Extra_Pay&lt;Beg_Bal),Sched_Pay+Extra_Pay,IF(Pay_Num&lt;&gt;"",Beg_Bal,""))</f>
        <v>0</v>
      </c>
      <c r="G62" s="70">
        <f>IF(Pay_Num&lt;&gt;"",Total_Pay-Int,"")</f>
        <v>0</v>
      </c>
      <c r="H62" s="70">
        <f>IF(Pay_Num&lt;&gt;"",Beg_Bal*Interest_Rate/Num_Pmt_Per_Year,"")</f>
        <v>0</v>
      </c>
      <c r="I62" s="70">
        <f>IF(AND(Pay_Num&lt;&gt;"",Sched_Pay+Extra_Pay&lt;Beg_Bal),Beg_Bal-Princ,IF(Pay_Num&lt;&gt;"",0,""))</f>
        <v>0</v>
      </c>
      <c r="J62" s="70">
        <f>SUM($H$18:$H62)</f>
        <v>431201.75350020552</v>
      </c>
    </row>
    <row r="63" spans="1:10" x14ac:dyDescent="0.3">
      <c r="A63" s="36">
        <f>IF(Values_Entered,A62+1,"")</f>
        <v>46</v>
      </c>
      <c r="B63" s="35">
        <f>IF(Pay_Num&lt;&gt;"",DATE(YEAR(Loan_Start),MONTH(Loan_Start)+(Pay_Num)*12/Num_Pmt_Per_Year,DAY(Loan_Start)),"")</f>
        <v>50386</v>
      </c>
      <c r="C63" s="70">
        <f>IF(Pay_Num&lt;&gt;"",I62,"")</f>
        <v>0</v>
      </c>
      <c r="D63" s="70">
        <f>IF(Pay_Num&lt;&gt;"",Scheduled_Monthly_Payment,"")</f>
        <v>71560.087675010276</v>
      </c>
      <c r="E63" s="71">
        <f>IF(AND(Pay_Num&lt;&gt;"",Sched_Pay+Scheduled_Extra_Payments&lt;Beg_Bal),Scheduled_Extra_Payments,IF(AND(Pay_Num&lt;&gt;"",Beg_Bal-Sched_Pay&gt;0),Beg_Bal-Sched_Pay,IF(Pay_Num&lt;&gt;"",0,"")))</f>
        <v>0</v>
      </c>
      <c r="F63" s="70">
        <f>IF(AND(Pay_Num&lt;&gt;"",Sched_Pay+Extra_Pay&lt;Beg_Bal),Sched_Pay+Extra_Pay,IF(Pay_Num&lt;&gt;"",Beg_Bal,""))</f>
        <v>0</v>
      </c>
      <c r="G63" s="70">
        <f>IF(Pay_Num&lt;&gt;"",Total_Pay-Int,"")</f>
        <v>0</v>
      </c>
      <c r="H63" s="70">
        <f>IF(Pay_Num&lt;&gt;"",Beg_Bal*Interest_Rate/Num_Pmt_Per_Year,"")</f>
        <v>0</v>
      </c>
      <c r="I63" s="70">
        <f>IF(AND(Pay_Num&lt;&gt;"",Sched_Pay+Extra_Pay&lt;Beg_Bal),Beg_Bal-Princ,IF(Pay_Num&lt;&gt;"",0,""))</f>
        <v>0</v>
      </c>
      <c r="J63" s="70">
        <f>SUM($H$18:$H63)</f>
        <v>431201.75350020552</v>
      </c>
    </row>
    <row r="64" spans="1:10" x14ac:dyDescent="0.3">
      <c r="A64" s="36">
        <f>IF(Values_Entered,A63+1,"")</f>
        <v>47</v>
      </c>
      <c r="B64" s="35">
        <f>IF(Pay_Num&lt;&gt;"",DATE(YEAR(Loan_Start),MONTH(Loan_Start)+(Pay_Num)*12/Num_Pmt_Per_Year,DAY(Loan_Start)),"")</f>
        <v>50476</v>
      </c>
      <c r="C64" s="70">
        <f>IF(Pay_Num&lt;&gt;"",I63,"")</f>
        <v>0</v>
      </c>
      <c r="D64" s="70">
        <f>IF(Pay_Num&lt;&gt;"",Scheduled_Monthly_Payment,"")</f>
        <v>71560.087675010276</v>
      </c>
      <c r="E64" s="71">
        <f>IF(AND(Pay_Num&lt;&gt;"",Sched_Pay+Scheduled_Extra_Payments&lt;Beg_Bal),Scheduled_Extra_Payments,IF(AND(Pay_Num&lt;&gt;"",Beg_Bal-Sched_Pay&gt;0),Beg_Bal-Sched_Pay,IF(Pay_Num&lt;&gt;"",0,"")))</f>
        <v>0</v>
      </c>
      <c r="F64" s="70">
        <f>IF(AND(Pay_Num&lt;&gt;"",Sched_Pay+Extra_Pay&lt;Beg_Bal),Sched_Pay+Extra_Pay,IF(Pay_Num&lt;&gt;"",Beg_Bal,""))</f>
        <v>0</v>
      </c>
      <c r="G64" s="70">
        <f>IF(Pay_Num&lt;&gt;"",Total_Pay-Int,"")</f>
        <v>0</v>
      </c>
      <c r="H64" s="70">
        <f>IF(Pay_Num&lt;&gt;"",Beg_Bal*Interest_Rate/Num_Pmt_Per_Year,"")</f>
        <v>0</v>
      </c>
      <c r="I64" s="70">
        <f>IF(AND(Pay_Num&lt;&gt;"",Sched_Pay+Extra_Pay&lt;Beg_Bal),Beg_Bal-Princ,IF(Pay_Num&lt;&gt;"",0,""))</f>
        <v>0</v>
      </c>
      <c r="J64" s="70">
        <f>SUM($H$18:$H64)</f>
        <v>431201.75350020552</v>
      </c>
    </row>
    <row r="65" spans="1:10" x14ac:dyDescent="0.3">
      <c r="A65" s="36">
        <f>IF(Values_Entered,A64+1,"")</f>
        <v>48</v>
      </c>
      <c r="B65" s="35">
        <f>IF(Pay_Num&lt;&gt;"",DATE(YEAR(Loan_Start),MONTH(Loan_Start)+(Pay_Num)*12/Num_Pmt_Per_Year,DAY(Loan_Start)),"")</f>
        <v>50568</v>
      </c>
      <c r="C65" s="70">
        <f>IF(Pay_Num&lt;&gt;"",I64,"")</f>
        <v>0</v>
      </c>
      <c r="D65" s="70">
        <f>IF(Pay_Num&lt;&gt;"",Scheduled_Monthly_Payment,"")</f>
        <v>71560.087675010276</v>
      </c>
      <c r="E65" s="71">
        <f>IF(AND(Pay_Num&lt;&gt;"",Sched_Pay+Scheduled_Extra_Payments&lt;Beg_Bal),Scheduled_Extra_Payments,IF(AND(Pay_Num&lt;&gt;"",Beg_Bal-Sched_Pay&gt;0),Beg_Bal-Sched_Pay,IF(Pay_Num&lt;&gt;"",0,"")))</f>
        <v>0</v>
      </c>
      <c r="F65" s="70">
        <f>IF(AND(Pay_Num&lt;&gt;"",Sched_Pay+Extra_Pay&lt;Beg_Bal),Sched_Pay+Extra_Pay,IF(Pay_Num&lt;&gt;"",Beg_Bal,""))</f>
        <v>0</v>
      </c>
      <c r="G65" s="70">
        <f>IF(Pay_Num&lt;&gt;"",Total_Pay-Int,"")</f>
        <v>0</v>
      </c>
      <c r="H65" s="70">
        <f>IF(Pay_Num&lt;&gt;"",Beg_Bal*Interest_Rate/Num_Pmt_Per_Year,"")</f>
        <v>0</v>
      </c>
      <c r="I65" s="70">
        <f>IF(AND(Pay_Num&lt;&gt;"",Sched_Pay+Extra_Pay&lt;Beg_Bal),Beg_Bal-Princ,IF(Pay_Num&lt;&gt;"",0,""))</f>
        <v>0</v>
      </c>
      <c r="J65" s="70">
        <f>SUM($H$18:$H65)</f>
        <v>431201.75350020552</v>
      </c>
    </row>
    <row r="66" spans="1:10" x14ac:dyDescent="0.3">
      <c r="A66" s="36">
        <f>IF(Values_Entered,A65+1,"")</f>
        <v>49</v>
      </c>
      <c r="B66" s="35">
        <f>IF(Pay_Num&lt;&gt;"",DATE(YEAR(Loan_Start),MONTH(Loan_Start)+(Pay_Num)*12/Num_Pmt_Per_Year,DAY(Loan_Start)),"")</f>
        <v>50660</v>
      </c>
      <c r="C66" s="70">
        <f>IF(Pay_Num&lt;&gt;"",I65,"")</f>
        <v>0</v>
      </c>
      <c r="D66" s="70">
        <f>IF(Pay_Num&lt;&gt;"",Scheduled_Monthly_Payment,"")</f>
        <v>71560.087675010276</v>
      </c>
      <c r="E66" s="71">
        <f>IF(AND(Pay_Num&lt;&gt;"",Sched_Pay+Scheduled_Extra_Payments&lt;Beg_Bal),Scheduled_Extra_Payments,IF(AND(Pay_Num&lt;&gt;"",Beg_Bal-Sched_Pay&gt;0),Beg_Bal-Sched_Pay,IF(Pay_Num&lt;&gt;"",0,"")))</f>
        <v>0</v>
      </c>
      <c r="F66" s="70">
        <f>IF(AND(Pay_Num&lt;&gt;"",Sched_Pay+Extra_Pay&lt;Beg_Bal),Sched_Pay+Extra_Pay,IF(Pay_Num&lt;&gt;"",Beg_Bal,""))</f>
        <v>0</v>
      </c>
      <c r="G66" s="70">
        <f>IF(Pay_Num&lt;&gt;"",Total_Pay-Int,"")</f>
        <v>0</v>
      </c>
      <c r="H66" s="70">
        <f>IF(Pay_Num&lt;&gt;"",Beg_Bal*Interest_Rate/Num_Pmt_Per_Year,"")</f>
        <v>0</v>
      </c>
      <c r="I66" s="70">
        <f>IF(AND(Pay_Num&lt;&gt;"",Sched_Pay+Extra_Pay&lt;Beg_Bal),Beg_Bal-Princ,IF(Pay_Num&lt;&gt;"",0,""))</f>
        <v>0</v>
      </c>
      <c r="J66" s="70">
        <f>SUM($H$18:$H66)</f>
        <v>431201.75350020552</v>
      </c>
    </row>
    <row r="67" spans="1:10" x14ac:dyDescent="0.3">
      <c r="A67" s="36">
        <f>IF(Values_Entered,A66+1,"")</f>
        <v>50</v>
      </c>
      <c r="B67" s="35">
        <f>IF(Pay_Num&lt;&gt;"",DATE(YEAR(Loan_Start),MONTH(Loan_Start)+(Pay_Num)*12/Num_Pmt_Per_Year,DAY(Loan_Start)),"")</f>
        <v>50751</v>
      </c>
      <c r="C67" s="70">
        <f>IF(Pay_Num&lt;&gt;"",I66,"")</f>
        <v>0</v>
      </c>
      <c r="D67" s="70">
        <f>IF(Pay_Num&lt;&gt;"",Scheduled_Monthly_Payment,"")</f>
        <v>71560.087675010276</v>
      </c>
      <c r="E67" s="71">
        <f>IF(AND(Pay_Num&lt;&gt;"",Sched_Pay+Scheduled_Extra_Payments&lt;Beg_Bal),Scheduled_Extra_Payments,IF(AND(Pay_Num&lt;&gt;"",Beg_Bal-Sched_Pay&gt;0),Beg_Bal-Sched_Pay,IF(Pay_Num&lt;&gt;"",0,"")))</f>
        <v>0</v>
      </c>
      <c r="F67" s="70">
        <f>IF(AND(Pay_Num&lt;&gt;"",Sched_Pay+Extra_Pay&lt;Beg_Bal),Sched_Pay+Extra_Pay,IF(Pay_Num&lt;&gt;"",Beg_Bal,""))</f>
        <v>0</v>
      </c>
      <c r="G67" s="70">
        <f>IF(Pay_Num&lt;&gt;"",Total_Pay-Int,"")</f>
        <v>0</v>
      </c>
      <c r="H67" s="70">
        <f>IF(Pay_Num&lt;&gt;"",Beg_Bal*Interest_Rate/Num_Pmt_Per_Year,"")</f>
        <v>0</v>
      </c>
      <c r="I67" s="70">
        <f>IF(AND(Pay_Num&lt;&gt;"",Sched_Pay+Extra_Pay&lt;Beg_Bal),Beg_Bal-Princ,IF(Pay_Num&lt;&gt;"",0,""))</f>
        <v>0</v>
      </c>
      <c r="J67" s="70">
        <f>SUM($H$18:$H67)</f>
        <v>431201.75350020552</v>
      </c>
    </row>
    <row r="68" spans="1:10" x14ac:dyDescent="0.3">
      <c r="A68" s="36">
        <f>IF(Values_Entered,A67+1,"")</f>
        <v>51</v>
      </c>
      <c r="B68" s="35">
        <f>IF(Pay_Num&lt;&gt;"",DATE(YEAR(Loan_Start),MONTH(Loan_Start)+(Pay_Num)*12/Num_Pmt_Per_Year,DAY(Loan_Start)),"")</f>
        <v>50841</v>
      </c>
      <c r="C68" s="70">
        <f>IF(Pay_Num&lt;&gt;"",I67,"")</f>
        <v>0</v>
      </c>
      <c r="D68" s="70">
        <f>IF(Pay_Num&lt;&gt;"",Scheduled_Monthly_Payment,"")</f>
        <v>71560.087675010276</v>
      </c>
      <c r="E68" s="71">
        <f>IF(AND(Pay_Num&lt;&gt;"",Sched_Pay+Scheduled_Extra_Payments&lt;Beg_Bal),Scheduled_Extra_Payments,IF(AND(Pay_Num&lt;&gt;"",Beg_Bal-Sched_Pay&gt;0),Beg_Bal-Sched_Pay,IF(Pay_Num&lt;&gt;"",0,"")))</f>
        <v>0</v>
      </c>
      <c r="F68" s="70">
        <f>IF(AND(Pay_Num&lt;&gt;"",Sched_Pay+Extra_Pay&lt;Beg_Bal),Sched_Pay+Extra_Pay,IF(Pay_Num&lt;&gt;"",Beg_Bal,""))</f>
        <v>0</v>
      </c>
      <c r="G68" s="70">
        <f>IF(Pay_Num&lt;&gt;"",Total_Pay-Int,"")</f>
        <v>0</v>
      </c>
      <c r="H68" s="70">
        <f>IF(Pay_Num&lt;&gt;"",Beg_Bal*Interest_Rate/Num_Pmt_Per_Year,"")</f>
        <v>0</v>
      </c>
      <c r="I68" s="70">
        <f>IF(AND(Pay_Num&lt;&gt;"",Sched_Pay+Extra_Pay&lt;Beg_Bal),Beg_Bal-Princ,IF(Pay_Num&lt;&gt;"",0,""))</f>
        <v>0</v>
      </c>
      <c r="J68" s="70">
        <f>SUM($H$18:$H68)</f>
        <v>431201.75350020552</v>
      </c>
    </row>
    <row r="69" spans="1:10" x14ac:dyDescent="0.3">
      <c r="A69" s="36">
        <f>IF(Values_Entered,A68+1,"")</f>
        <v>52</v>
      </c>
      <c r="B69" s="35">
        <f>IF(Pay_Num&lt;&gt;"",DATE(YEAR(Loan_Start),MONTH(Loan_Start)+(Pay_Num)*12/Num_Pmt_Per_Year,DAY(Loan_Start)),"")</f>
        <v>50933</v>
      </c>
      <c r="C69" s="70">
        <f>IF(Pay_Num&lt;&gt;"",I68,"")</f>
        <v>0</v>
      </c>
      <c r="D69" s="70">
        <f>IF(Pay_Num&lt;&gt;"",Scheduled_Monthly_Payment,"")</f>
        <v>71560.087675010276</v>
      </c>
      <c r="E69" s="71">
        <f>IF(AND(Pay_Num&lt;&gt;"",Sched_Pay+Scheduled_Extra_Payments&lt;Beg_Bal),Scheduled_Extra_Payments,IF(AND(Pay_Num&lt;&gt;"",Beg_Bal-Sched_Pay&gt;0),Beg_Bal-Sched_Pay,IF(Pay_Num&lt;&gt;"",0,"")))</f>
        <v>0</v>
      </c>
      <c r="F69" s="70">
        <f>IF(AND(Pay_Num&lt;&gt;"",Sched_Pay+Extra_Pay&lt;Beg_Bal),Sched_Pay+Extra_Pay,IF(Pay_Num&lt;&gt;"",Beg_Bal,""))</f>
        <v>0</v>
      </c>
      <c r="G69" s="70">
        <f>IF(Pay_Num&lt;&gt;"",Total_Pay-Int,"")</f>
        <v>0</v>
      </c>
      <c r="H69" s="70">
        <f>IF(Pay_Num&lt;&gt;"",Beg_Bal*Interest_Rate/Num_Pmt_Per_Year,"")</f>
        <v>0</v>
      </c>
      <c r="I69" s="70">
        <f>IF(AND(Pay_Num&lt;&gt;"",Sched_Pay+Extra_Pay&lt;Beg_Bal),Beg_Bal-Princ,IF(Pay_Num&lt;&gt;"",0,""))</f>
        <v>0</v>
      </c>
      <c r="J69" s="70">
        <f>SUM($H$18:$H69)</f>
        <v>431201.75350020552</v>
      </c>
    </row>
    <row r="70" spans="1:10" x14ac:dyDescent="0.3">
      <c r="A70" s="36">
        <f>IF(Values_Entered,A69+1,"")</f>
        <v>53</v>
      </c>
      <c r="B70" s="35">
        <f>IF(Pay_Num&lt;&gt;"",DATE(YEAR(Loan_Start),MONTH(Loan_Start)+(Pay_Num)*12/Num_Pmt_Per_Year,DAY(Loan_Start)),"")</f>
        <v>51025</v>
      </c>
      <c r="C70" s="70">
        <f>IF(Pay_Num&lt;&gt;"",I69,"")</f>
        <v>0</v>
      </c>
      <c r="D70" s="70">
        <f>IF(Pay_Num&lt;&gt;"",Scheduled_Monthly_Payment,"")</f>
        <v>71560.087675010276</v>
      </c>
      <c r="E70" s="71">
        <f>IF(AND(Pay_Num&lt;&gt;"",Sched_Pay+Scheduled_Extra_Payments&lt;Beg_Bal),Scheduled_Extra_Payments,IF(AND(Pay_Num&lt;&gt;"",Beg_Bal-Sched_Pay&gt;0),Beg_Bal-Sched_Pay,IF(Pay_Num&lt;&gt;"",0,"")))</f>
        <v>0</v>
      </c>
      <c r="F70" s="70">
        <f>IF(AND(Pay_Num&lt;&gt;"",Sched_Pay+Extra_Pay&lt;Beg_Bal),Sched_Pay+Extra_Pay,IF(Pay_Num&lt;&gt;"",Beg_Bal,""))</f>
        <v>0</v>
      </c>
      <c r="G70" s="70">
        <f>IF(Pay_Num&lt;&gt;"",Total_Pay-Int,"")</f>
        <v>0</v>
      </c>
      <c r="H70" s="70">
        <f>IF(Pay_Num&lt;&gt;"",Beg_Bal*Interest_Rate/Num_Pmt_Per_Year,"")</f>
        <v>0</v>
      </c>
      <c r="I70" s="70">
        <f>IF(AND(Pay_Num&lt;&gt;"",Sched_Pay+Extra_Pay&lt;Beg_Bal),Beg_Bal-Princ,IF(Pay_Num&lt;&gt;"",0,""))</f>
        <v>0</v>
      </c>
      <c r="J70" s="70">
        <f>SUM($H$18:$H70)</f>
        <v>431201.75350020552</v>
      </c>
    </row>
    <row r="71" spans="1:10" x14ac:dyDescent="0.3">
      <c r="A71" s="36">
        <f>IF(Values_Entered,A70+1,"")</f>
        <v>54</v>
      </c>
      <c r="B71" s="35">
        <f>IF(Pay_Num&lt;&gt;"",DATE(YEAR(Loan_Start),MONTH(Loan_Start)+(Pay_Num)*12/Num_Pmt_Per_Year,DAY(Loan_Start)),"")</f>
        <v>51116</v>
      </c>
      <c r="C71" s="70">
        <f>IF(Pay_Num&lt;&gt;"",I70,"")</f>
        <v>0</v>
      </c>
      <c r="D71" s="70">
        <f>IF(Pay_Num&lt;&gt;"",Scheduled_Monthly_Payment,"")</f>
        <v>71560.087675010276</v>
      </c>
      <c r="E71" s="71">
        <f>IF(AND(Pay_Num&lt;&gt;"",Sched_Pay+Scheduled_Extra_Payments&lt;Beg_Bal),Scheduled_Extra_Payments,IF(AND(Pay_Num&lt;&gt;"",Beg_Bal-Sched_Pay&gt;0),Beg_Bal-Sched_Pay,IF(Pay_Num&lt;&gt;"",0,"")))</f>
        <v>0</v>
      </c>
      <c r="F71" s="70">
        <f>IF(AND(Pay_Num&lt;&gt;"",Sched_Pay+Extra_Pay&lt;Beg_Bal),Sched_Pay+Extra_Pay,IF(Pay_Num&lt;&gt;"",Beg_Bal,""))</f>
        <v>0</v>
      </c>
      <c r="G71" s="70">
        <f>IF(Pay_Num&lt;&gt;"",Total_Pay-Int,"")</f>
        <v>0</v>
      </c>
      <c r="H71" s="70">
        <f>IF(Pay_Num&lt;&gt;"",Beg_Bal*Interest_Rate/Num_Pmt_Per_Year,"")</f>
        <v>0</v>
      </c>
      <c r="I71" s="70">
        <f>IF(AND(Pay_Num&lt;&gt;"",Sched_Pay+Extra_Pay&lt;Beg_Bal),Beg_Bal-Princ,IF(Pay_Num&lt;&gt;"",0,""))</f>
        <v>0</v>
      </c>
      <c r="J71" s="70">
        <f>SUM($H$18:$H71)</f>
        <v>431201.75350020552</v>
      </c>
    </row>
    <row r="72" spans="1:10" x14ac:dyDescent="0.3">
      <c r="A72" s="36">
        <f>IF(Values_Entered,A71+1,"")</f>
        <v>55</v>
      </c>
      <c r="B72" s="35">
        <f>IF(Pay_Num&lt;&gt;"",DATE(YEAR(Loan_Start),MONTH(Loan_Start)+(Pay_Num)*12/Num_Pmt_Per_Year,DAY(Loan_Start)),"")</f>
        <v>51207</v>
      </c>
      <c r="C72" s="70">
        <f>IF(Pay_Num&lt;&gt;"",I71,"")</f>
        <v>0</v>
      </c>
      <c r="D72" s="70">
        <f>IF(Pay_Num&lt;&gt;"",Scheduled_Monthly_Payment,"")</f>
        <v>71560.087675010276</v>
      </c>
      <c r="E72" s="71">
        <f>IF(AND(Pay_Num&lt;&gt;"",Sched_Pay+Scheduled_Extra_Payments&lt;Beg_Bal),Scheduled_Extra_Payments,IF(AND(Pay_Num&lt;&gt;"",Beg_Bal-Sched_Pay&gt;0),Beg_Bal-Sched_Pay,IF(Pay_Num&lt;&gt;"",0,"")))</f>
        <v>0</v>
      </c>
      <c r="F72" s="70">
        <f>IF(AND(Pay_Num&lt;&gt;"",Sched_Pay+Extra_Pay&lt;Beg_Bal),Sched_Pay+Extra_Pay,IF(Pay_Num&lt;&gt;"",Beg_Bal,""))</f>
        <v>0</v>
      </c>
      <c r="G72" s="70">
        <f>IF(Pay_Num&lt;&gt;"",Total_Pay-Int,"")</f>
        <v>0</v>
      </c>
      <c r="H72" s="70">
        <f>IF(Pay_Num&lt;&gt;"",Beg_Bal*Interest_Rate/Num_Pmt_Per_Year,"")</f>
        <v>0</v>
      </c>
      <c r="I72" s="70">
        <f>IF(AND(Pay_Num&lt;&gt;"",Sched_Pay+Extra_Pay&lt;Beg_Bal),Beg_Bal-Princ,IF(Pay_Num&lt;&gt;"",0,""))</f>
        <v>0</v>
      </c>
      <c r="J72" s="70">
        <f>SUM($H$18:$H72)</f>
        <v>431201.75350020552</v>
      </c>
    </row>
    <row r="73" spans="1:10" x14ac:dyDescent="0.3">
      <c r="A73" s="36">
        <f>IF(Values_Entered,A72+1,"")</f>
        <v>56</v>
      </c>
      <c r="B73" s="35">
        <f>IF(Pay_Num&lt;&gt;"",DATE(YEAR(Loan_Start),MONTH(Loan_Start)+(Pay_Num)*12/Num_Pmt_Per_Year,DAY(Loan_Start)),"")</f>
        <v>51299</v>
      </c>
      <c r="C73" s="70">
        <f>IF(Pay_Num&lt;&gt;"",I72,"")</f>
        <v>0</v>
      </c>
      <c r="D73" s="70">
        <f>IF(Pay_Num&lt;&gt;"",Scheduled_Monthly_Payment,"")</f>
        <v>71560.087675010276</v>
      </c>
      <c r="E73" s="71">
        <f>IF(AND(Pay_Num&lt;&gt;"",Sched_Pay+Scheduled_Extra_Payments&lt;Beg_Bal),Scheduled_Extra_Payments,IF(AND(Pay_Num&lt;&gt;"",Beg_Bal-Sched_Pay&gt;0),Beg_Bal-Sched_Pay,IF(Pay_Num&lt;&gt;"",0,"")))</f>
        <v>0</v>
      </c>
      <c r="F73" s="70">
        <f>IF(AND(Pay_Num&lt;&gt;"",Sched_Pay+Extra_Pay&lt;Beg_Bal),Sched_Pay+Extra_Pay,IF(Pay_Num&lt;&gt;"",Beg_Bal,""))</f>
        <v>0</v>
      </c>
      <c r="G73" s="70">
        <f>IF(Pay_Num&lt;&gt;"",Total_Pay-Int,"")</f>
        <v>0</v>
      </c>
      <c r="H73" s="70">
        <f>IF(Pay_Num&lt;&gt;"",Beg_Bal*Interest_Rate/Num_Pmt_Per_Year,"")</f>
        <v>0</v>
      </c>
      <c r="I73" s="70">
        <f>IF(AND(Pay_Num&lt;&gt;"",Sched_Pay+Extra_Pay&lt;Beg_Bal),Beg_Bal-Princ,IF(Pay_Num&lt;&gt;"",0,""))</f>
        <v>0</v>
      </c>
      <c r="J73" s="70">
        <f>SUM($H$18:$H73)</f>
        <v>431201.75350020552</v>
      </c>
    </row>
    <row r="74" spans="1:10" x14ac:dyDescent="0.3">
      <c r="A74" s="36">
        <f>IF(Values_Entered,A73+1,"")</f>
        <v>57</v>
      </c>
      <c r="B74" s="35">
        <f>IF(Pay_Num&lt;&gt;"",DATE(YEAR(Loan_Start),MONTH(Loan_Start)+(Pay_Num)*12/Num_Pmt_Per_Year,DAY(Loan_Start)),"")</f>
        <v>51391</v>
      </c>
      <c r="C74" s="70">
        <f>IF(Pay_Num&lt;&gt;"",I73,"")</f>
        <v>0</v>
      </c>
      <c r="D74" s="70">
        <f>IF(Pay_Num&lt;&gt;"",Scheduled_Monthly_Payment,"")</f>
        <v>71560.087675010276</v>
      </c>
      <c r="E74" s="71">
        <f>IF(AND(Pay_Num&lt;&gt;"",Sched_Pay+Scheduled_Extra_Payments&lt;Beg_Bal),Scheduled_Extra_Payments,IF(AND(Pay_Num&lt;&gt;"",Beg_Bal-Sched_Pay&gt;0),Beg_Bal-Sched_Pay,IF(Pay_Num&lt;&gt;"",0,"")))</f>
        <v>0</v>
      </c>
      <c r="F74" s="70">
        <f>IF(AND(Pay_Num&lt;&gt;"",Sched_Pay+Extra_Pay&lt;Beg_Bal),Sched_Pay+Extra_Pay,IF(Pay_Num&lt;&gt;"",Beg_Bal,""))</f>
        <v>0</v>
      </c>
      <c r="G74" s="70">
        <f>IF(Pay_Num&lt;&gt;"",Total_Pay-Int,"")</f>
        <v>0</v>
      </c>
      <c r="H74" s="70">
        <f>IF(Pay_Num&lt;&gt;"",Beg_Bal*Interest_Rate/Num_Pmt_Per_Year,"")</f>
        <v>0</v>
      </c>
      <c r="I74" s="70">
        <f>IF(AND(Pay_Num&lt;&gt;"",Sched_Pay+Extra_Pay&lt;Beg_Bal),Beg_Bal-Princ,IF(Pay_Num&lt;&gt;"",0,""))</f>
        <v>0</v>
      </c>
      <c r="J74" s="70">
        <f>SUM($H$18:$H74)</f>
        <v>431201.75350020552</v>
      </c>
    </row>
    <row r="75" spans="1:10" x14ac:dyDescent="0.3">
      <c r="A75" s="36">
        <f>IF(Values_Entered,A74+1,"")</f>
        <v>58</v>
      </c>
      <c r="B75" s="35">
        <f>IF(Pay_Num&lt;&gt;"",DATE(YEAR(Loan_Start),MONTH(Loan_Start)+(Pay_Num)*12/Num_Pmt_Per_Year,DAY(Loan_Start)),"")</f>
        <v>51482</v>
      </c>
      <c r="C75" s="70">
        <f>IF(Pay_Num&lt;&gt;"",I74,"")</f>
        <v>0</v>
      </c>
      <c r="D75" s="70">
        <f>IF(Pay_Num&lt;&gt;"",Scheduled_Monthly_Payment,"")</f>
        <v>71560.087675010276</v>
      </c>
      <c r="E75" s="71">
        <f>IF(AND(Pay_Num&lt;&gt;"",Sched_Pay+Scheduled_Extra_Payments&lt;Beg_Bal),Scheduled_Extra_Payments,IF(AND(Pay_Num&lt;&gt;"",Beg_Bal-Sched_Pay&gt;0),Beg_Bal-Sched_Pay,IF(Pay_Num&lt;&gt;"",0,"")))</f>
        <v>0</v>
      </c>
      <c r="F75" s="70">
        <f>IF(AND(Pay_Num&lt;&gt;"",Sched_Pay+Extra_Pay&lt;Beg_Bal),Sched_Pay+Extra_Pay,IF(Pay_Num&lt;&gt;"",Beg_Bal,""))</f>
        <v>0</v>
      </c>
      <c r="G75" s="70">
        <f>IF(Pay_Num&lt;&gt;"",Total_Pay-Int,"")</f>
        <v>0</v>
      </c>
      <c r="H75" s="70">
        <f>IF(Pay_Num&lt;&gt;"",Beg_Bal*Interest_Rate/Num_Pmt_Per_Year,"")</f>
        <v>0</v>
      </c>
      <c r="I75" s="70">
        <f>IF(AND(Pay_Num&lt;&gt;"",Sched_Pay+Extra_Pay&lt;Beg_Bal),Beg_Bal-Princ,IF(Pay_Num&lt;&gt;"",0,""))</f>
        <v>0</v>
      </c>
      <c r="J75" s="70">
        <f>SUM($H$18:$H75)</f>
        <v>431201.75350020552</v>
      </c>
    </row>
    <row r="76" spans="1:10" x14ac:dyDescent="0.3">
      <c r="A76" s="36">
        <f>IF(Values_Entered,A75+1,"")</f>
        <v>59</v>
      </c>
      <c r="B76" s="35">
        <f>IF(Pay_Num&lt;&gt;"",DATE(YEAR(Loan_Start),MONTH(Loan_Start)+(Pay_Num)*12/Num_Pmt_Per_Year,DAY(Loan_Start)),"")</f>
        <v>51572</v>
      </c>
      <c r="C76" s="70">
        <f>IF(Pay_Num&lt;&gt;"",I75,"")</f>
        <v>0</v>
      </c>
      <c r="D76" s="70">
        <f>IF(Pay_Num&lt;&gt;"",Scheduled_Monthly_Payment,"")</f>
        <v>71560.087675010276</v>
      </c>
      <c r="E76" s="71">
        <f>IF(AND(Pay_Num&lt;&gt;"",Sched_Pay+Scheduled_Extra_Payments&lt;Beg_Bal),Scheduled_Extra_Payments,IF(AND(Pay_Num&lt;&gt;"",Beg_Bal-Sched_Pay&gt;0),Beg_Bal-Sched_Pay,IF(Pay_Num&lt;&gt;"",0,"")))</f>
        <v>0</v>
      </c>
      <c r="F76" s="70">
        <f>IF(AND(Pay_Num&lt;&gt;"",Sched_Pay+Extra_Pay&lt;Beg_Bal),Sched_Pay+Extra_Pay,IF(Pay_Num&lt;&gt;"",Beg_Bal,""))</f>
        <v>0</v>
      </c>
      <c r="G76" s="70">
        <f>IF(Pay_Num&lt;&gt;"",Total_Pay-Int,"")</f>
        <v>0</v>
      </c>
      <c r="H76" s="70">
        <f>IF(Pay_Num&lt;&gt;"",Beg_Bal*Interest_Rate/Num_Pmt_Per_Year,"")</f>
        <v>0</v>
      </c>
      <c r="I76" s="70">
        <f>IF(AND(Pay_Num&lt;&gt;"",Sched_Pay+Extra_Pay&lt;Beg_Bal),Beg_Bal-Princ,IF(Pay_Num&lt;&gt;"",0,""))</f>
        <v>0</v>
      </c>
      <c r="J76" s="70">
        <f>SUM($H$18:$H76)</f>
        <v>431201.75350020552</v>
      </c>
    </row>
    <row r="77" spans="1:10" x14ac:dyDescent="0.3">
      <c r="A77" s="36">
        <f>IF(Values_Entered,A76+1,"")</f>
        <v>60</v>
      </c>
      <c r="B77" s="35">
        <f>IF(Pay_Num&lt;&gt;"",DATE(YEAR(Loan_Start),MONTH(Loan_Start)+(Pay_Num)*12/Num_Pmt_Per_Year,DAY(Loan_Start)),"")</f>
        <v>51664</v>
      </c>
      <c r="C77" s="70">
        <f>IF(Pay_Num&lt;&gt;"",I76,"")</f>
        <v>0</v>
      </c>
      <c r="D77" s="70">
        <f>IF(Pay_Num&lt;&gt;"",Scheduled_Monthly_Payment,"")</f>
        <v>71560.087675010276</v>
      </c>
      <c r="E77" s="71">
        <f>IF(AND(Pay_Num&lt;&gt;"",Sched_Pay+Scheduled_Extra_Payments&lt;Beg_Bal),Scheduled_Extra_Payments,IF(AND(Pay_Num&lt;&gt;"",Beg_Bal-Sched_Pay&gt;0),Beg_Bal-Sched_Pay,IF(Pay_Num&lt;&gt;"",0,"")))</f>
        <v>0</v>
      </c>
      <c r="F77" s="70">
        <f>IF(AND(Pay_Num&lt;&gt;"",Sched_Pay+Extra_Pay&lt;Beg_Bal),Sched_Pay+Extra_Pay,IF(Pay_Num&lt;&gt;"",Beg_Bal,""))</f>
        <v>0</v>
      </c>
      <c r="G77" s="70">
        <f>IF(Pay_Num&lt;&gt;"",Total_Pay-Int,"")</f>
        <v>0</v>
      </c>
      <c r="H77" s="70">
        <f>IF(Pay_Num&lt;&gt;"",Beg_Bal*Interest_Rate/Num_Pmt_Per_Year,"")</f>
        <v>0</v>
      </c>
      <c r="I77" s="70">
        <f>IF(AND(Pay_Num&lt;&gt;"",Sched_Pay+Extra_Pay&lt;Beg_Bal),Beg_Bal-Princ,IF(Pay_Num&lt;&gt;"",0,""))</f>
        <v>0</v>
      </c>
      <c r="J77" s="70">
        <f>SUM($H$18:$H77)</f>
        <v>431201.75350020552</v>
      </c>
    </row>
    <row r="78" spans="1:10" x14ac:dyDescent="0.3">
      <c r="A78" s="36">
        <f>IF(Values_Entered,A77+1,"")</f>
        <v>61</v>
      </c>
      <c r="B78" s="35">
        <f>IF(Pay_Num&lt;&gt;"",DATE(YEAR(Loan_Start),MONTH(Loan_Start)+(Pay_Num)*12/Num_Pmt_Per_Year,DAY(Loan_Start)),"")</f>
        <v>51756</v>
      </c>
      <c r="C78" s="70">
        <f>IF(Pay_Num&lt;&gt;"",I77,"")</f>
        <v>0</v>
      </c>
      <c r="D78" s="70">
        <f>IF(Pay_Num&lt;&gt;"",Scheduled_Monthly_Payment,"")</f>
        <v>71560.087675010276</v>
      </c>
      <c r="E78" s="71">
        <f>IF(AND(Pay_Num&lt;&gt;"",Sched_Pay+Scheduled_Extra_Payments&lt;Beg_Bal),Scheduled_Extra_Payments,IF(AND(Pay_Num&lt;&gt;"",Beg_Bal-Sched_Pay&gt;0),Beg_Bal-Sched_Pay,IF(Pay_Num&lt;&gt;"",0,"")))</f>
        <v>0</v>
      </c>
      <c r="F78" s="70">
        <f>IF(AND(Pay_Num&lt;&gt;"",Sched_Pay+Extra_Pay&lt;Beg_Bal),Sched_Pay+Extra_Pay,IF(Pay_Num&lt;&gt;"",Beg_Bal,""))</f>
        <v>0</v>
      </c>
      <c r="G78" s="70">
        <f>IF(Pay_Num&lt;&gt;"",Total_Pay-Int,"")</f>
        <v>0</v>
      </c>
      <c r="H78" s="70">
        <f>IF(Pay_Num&lt;&gt;"",Beg_Bal*Interest_Rate/Num_Pmt_Per_Year,"")</f>
        <v>0</v>
      </c>
      <c r="I78" s="70">
        <f>IF(AND(Pay_Num&lt;&gt;"",Sched_Pay+Extra_Pay&lt;Beg_Bal),Beg_Bal-Princ,IF(Pay_Num&lt;&gt;"",0,""))</f>
        <v>0</v>
      </c>
      <c r="J78" s="70">
        <f>SUM($H$18:$H78)</f>
        <v>431201.75350020552</v>
      </c>
    </row>
    <row r="79" spans="1:10" x14ac:dyDescent="0.3">
      <c r="A79" s="36">
        <f>IF(Values_Entered,A78+1,"")</f>
        <v>62</v>
      </c>
      <c r="B79" s="35">
        <f>IF(Pay_Num&lt;&gt;"",DATE(YEAR(Loan_Start),MONTH(Loan_Start)+(Pay_Num)*12/Num_Pmt_Per_Year,DAY(Loan_Start)),"")</f>
        <v>51847</v>
      </c>
      <c r="C79" s="70">
        <f>IF(Pay_Num&lt;&gt;"",I78,"")</f>
        <v>0</v>
      </c>
      <c r="D79" s="70">
        <f>IF(Pay_Num&lt;&gt;"",Scheduled_Monthly_Payment,"")</f>
        <v>71560.087675010276</v>
      </c>
      <c r="E79" s="71">
        <f>IF(AND(Pay_Num&lt;&gt;"",Sched_Pay+Scheduled_Extra_Payments&lt;Beg_Bal),Scheduled_Extra_Payments,IF(AND(Pay_Num&lt;&gt;"",Beg_Bal-Sched_Pay&gt;0),Beg_Bal-Sched_Pay,IF(Pay_Num&lt;&gt;"",0,"")))</f>
        <v>0</v>
      </c>
      <c r="F79" s="70">
        <f>IF(AND(Pay_Num&lt;&gt;"",Sched_Pay+Extra_Pay&lt;Beg_Bal),Sched_Pay+Extra_Pay,IF(Pay_Num&lt;&gt;"",Beg_Bal,""))</f>
        <v>0</v>
      </c>
      <c r="G79" s="70">
        <f>IF(Pay_Num&lt;&gt;"",Total_Pay-Int,"")</f>
        <v>0</v>
      </c>
      <c r="H79" s="70">
        <f>IF(Pay_Num&lt;&gt;"",Beg_Bal*Interest_Rate/Num_Pmt_Per_Year,"")</f>
        <v>0</v>
      </c>
      <c r="I79" s="70">
        <f>IF(AND(Pay_Num&lt;&gt;"",Sched_Pay+Extra_Pay&lt;Beg_Bal),Beg_Bal-Princ,IF(Pay_Num&lt;&gt;"",0,""))</f>
        <v>0</v>
      </c>
      <c r="J79" s="70">
        <f>SUM($H$18:$H79)</f>
        <v>431201.75350020552</v>
      </c>
    </row>
    <row r="80" spans="1:10" x14ac:dyDescent="0.3">
      <c r="A80" s="36">
        <f>IF(Values_Entered,A79+1,"")</f>
        <v>63</v>
      </c>
      <c r="B80" s="35">
        <f>IF(Pay_Num&lt;&gt;"",DATE(YEAR(Loan_Start),MONTH(Loan_Start)+(Pay_Num)*12/Num_Pmt_Per_Year,DAY(Loan_Start)),"")</f>
        <v>51937</v>
      </c>
      <c r="C80" s="70">
        <f>IF(Pay_Num&lt;&gt;"",I79,"")</f>
        <v>0</v>
      </c>
      <c r="D80" s="70">
        <f>IF(Pay_Num&lt;&gt;"",Scheduled_Monthly_Payment,"")</f>
        <v>71560.087675010276</v>
      </c>
      <c r="E80" s="71">
        <f>IF(AND(Pay_Num&lt;&gt;"",Sched_Pay+Scheduled_Extra_Payments&lt;Beg_Bal),Scheduled_Extra_Payments,IF(AND(Pay_Num&lt;&gt;"",Beg_Bal-Sched_Pay&gt;0),Beg_Bal-Sched_Pay,IF(Pay_Num&lt;&gt;"",0,"")))</f>
        <v>0</v>
      </c>
      <c r="F80" s="70">
        <f>IF(AND(Pay_Num&lt;&gt;"",Sched_Pay+Extra_Pay&lt;Beg_Bal),Sched_Pay+Extra_Pay,IF(Pay_Num&lt;&gt;"",Beg_Bal,""))</f>
        <v>0</v>
      </c>
      <c r="G80" s="70">
        <f>IF(Pay_Num&lt;&gt;"",Total_Pay-Int,"")</f>
        <v>0</v>
      </c>
      <c r="H80" s="70">
        <f>IF(Pay_Num&lt;&gt;"",Beg_Bal*Interest_Rate/Num_Pmt_Per_Year,"")</f>
        <v>0</v>
      </c>
      <c r="I80" s="70">
        <f>IF(AND(Pay_Num&lt;&gt;"",Sched_Pay+Extra_Pay&lt;Beg_Bal),Beg_Bal-Princ,IF(Pay_Num&lt;&gt;"",0,""))</f>
        <v>0</v>
      </c>
      <c r="J80" s="70">
        <f>SUM($H$18:$H80)</f>
        <v>431201.75350020552</v>
      </c>
    </row>
    <row r="81" spans="1:10" x14ac:dyDescent="0.3">
      <c r="A81" s="36">
        <f>IF(Values_Entered,A80+1,"")</f>
        <v>64</v>
      </c>
      <c r="B81" s="35">
        <f>IF(Pay_Num&lt;&gt;"",DATE(YEAR(Loan_Start),MONTH(Loan_Start)+(Pay_Num)*12/Num_Pmt_Per_Year,DAY(Loan_Start)),"")</f>
        <v>52029</v>
      </c>
      <c r="C81" s="70">
        <f>IF(Pay_Num&lt;&gt;"",I80,"")</f>
        <v>0</v>
      </c>
      <c r="D81" s="70">
        <f>IF(Pay_Num&lt;&gt;"",Scheduled_Monthly_Payment,"")</f>
        <v>71560.087675010276</v>
      </c>
      <c r="E81" s="71">
        <f>IF(AND(Pay_Num&lt;&gt;"",Sched_Pay+Scheduled_Extra_Payments&lt;Beg_Bal),Scheduled_Extra_Payments,IF(AND(Pay_Num&lt;&gt;"",Beg_Bal-Sched_Pay&gt;0),Beg_Bal-Sched_Pay,IF(Pay_Num&lt;&gt;"",0,"")))</f>
        <v>0</v>
      </c>
      <c r="F81" s="70">
        <f>IF(AND(Pay_Num&lt;&gt;"",Sched_Pay+Extra_Pay&lt;Beg_Bal),Sched_Pay+Extra_Pay,IF(Pay_Num&lt;&gt;"",Beg_Bal,""))</f>
        <v>0</v>
      </c>
      <c r="G81" s="70">
        <f>IF(Pay_Num&lt;&gt;"",Total_Pay-Int,"")</f>
        <v>0</v>
      </c>
      <c r="H81" s="70">
        <f>IF(Pay_Num&lt;&gt;"",Beg_Bal*Interest_Rate/Num_Pmt_Per_Year,"")</f>
        <v>0</v>
      </c>
      <c r="I81" s="70">
        <f>IF(AND(Pay_Num&lt;&gt;"",Sched_Pay+Extra_Pay&lt;Beg_Bal),Beg_Bal-Princ,IF(Pay_Num&lt;&gt;"",0,""))</f>
        <v>0</v>
      </c>
      <c r="J81" s="70">
        <f>SUM($H$18:$H81)</f>
        <v>431201.75350020552</v>
      </c>
    </row>
    <row r="82" spans="1:10" x14ac:dyDescent="0.3">
      <c r="A82" s="36">
        <f>IF(Values_Entered,A81+1,"")</f>
        <v>65</v>
      </c>
      <c r="B82" s="35">
        <f>IF(Pay_Num&lt;&gt;"",DATE(YEAR(Loan_Start),MONTH(Loan_Start)+(Pay_Num)*12/Num_Pmt_Per_Year,DAY(Loan_Start)),"")</f>
        <v>52121</v>
      </c>
      <c r="C82" s="70">
        <f>IF(Pay_Num&lt;&gt;"",I81,"")</f>
        <v>0</v>
      </c>
      <c r="D82" s="70">
        <f>IF(Pay_Num&lt;&gt;"",Scheduled_Monthly_Payment,"")</f>
        <v>71560.087675010276</v>
      </c>
      <c r="E82" s="71">
        <f>IF(AND(Pay_Num&lt;&gt;"",Sched_Pay+Scheduled_Extra_Payments&lt;Beg_Bal),Scheduled_Extra_Payments,IF(AND(Pay_Num&lt;&gt;"",Beg_Bal-Sched_Pay&gt;0),Beg_Bal-Sched_Pay,IF(Pay_Num&lt;&gt;"",0,"")))</f>
        <v>0</v>
      </c>
      <c r="F82" s="70">
        <f>IF(AND(Pay_Num&lt;&gt;"",Sched_Pay+Extra_Pay&lt;Beg_Bal),Sched_Pay+Extra_Pay,IF(Pay_Num&lt;&gt;"",Beg_Bal,""))</f>
        <v>0</v>
      </c>
      <c r="G82" s="70">
        <f>IF(Pay_Num&lt;&gt;"",Total_Pay-Int,"")</f>
        <v>0</v>
      </c>
      <c r="H82" s="70">
        <f>IF(Pay_Num&lt;&gt;"",Beg_Bal*Interest_Rate/Num_Pmt_Per_Year,"")</f>
        <v>0</v>
      </c>
      <c r="I82" s="70">
        <f>IF(AND(Pay_Num&lt;&gt;"",Sched_Pay+Extra_Pay&lt;Beg_Bal),Beg_Bal-Princ,IF(Pay_Num&lt;&gt;"",0,""))</f>
        <v>0</v>
      </c>
      <c r="J82" s="70">
        <f>SUM($H$18:$H82)</f>
        <v>431201.75350020552</v>
      </c>
    </row>
    <row r="83" spans="1:10" x14ac:dyDescent="0.3">
      <c r="A83" s="36">
        <f>IF(Values_Entered,A82+1,"")</f>
        <v>66</v>
      </c>
      <c r="B83" s="35">
        <f>IF(Pay_Num&lt;&gt;"",DATE(YEAR(Loan_Start),MONTH(Loan_Start)+(Pay_Num)*12/Num_Pmt_Per_Year,DAY(Loan_Start)),"")</f>
        <v>52212</v>
      </c>
      <c r="C83" s="70">
        <f>IF(Pay_Num&lt;&gt;"",I82,"")</f>
        <v>0</v>
      </c>
      <c r="D83" s="70">
        <f>IF(Pay_Num&lt;&gt;"",Scheduled_Monthly_Payment,"")</f>
        <v>71560.087675010276</v>
      </c>
      <c r="E83" s="71">
        <f>IF(AND(Pay_Num&lt;&gt;"",Sched_Pay+Scheduled_Extra_Payments&lt;Beg_Bal),Scheduled_Extra_Payments,IF(AND(Pay_Num&lt;&gt;"",Beg_Bal-Sched_Pay&gt;0),Beg_Bal-Sched_Pay,IF(Pay_Num&lt;&gt;"",0,"")))</f>
        <v>0</v>
      </c>
      <c r="F83" s="70">
        <f>IF(AND(Pay_Num&lt;&gt;"",Sched_Pay+Extra_Pay&lt;Beg_Bal),Sched_Pay+Extra_Pay,IF(Pay_Num&lt;&gt;"",Beg_Bal,""))</f>
        <v>0</v>
      </c>
      <c r="G83" s="70">
        <f>IF(Pay_Num&lt;&gt;"",Total_Pay-Int,"")</f>
        <v>0</v>
      </c>
      <c r="H83" s="70">
        <f>IF(Pay_Num&lt;&gt;"",Beg_Bal*Interest_Rate/Num_Pmt_Per_Year,"")</f>
        <v>0</v>
      </c>
      <c r="I83" s="70">
        <f>IF(AND(Pay_Num&lt;&gt;"",Sched_Pay+Extra_Pay&lt;Beg_Bal),Beg_Bal-Princ,IF(Pay_Num&lt;&gt;"",0,""))</f>
        <v>0</v>
      </c>
      <c r="J83" s="70">
        <f>SUM($H$18:$H83)</f>
        <v>431201.75350020552</v>
      </c>
    </row>
    <row r="84" spans="1:10" x14ac:dyDescent="0.3">
      <c r="A84" s="36">
        <f>IF(Values_Entered,A83+1,"")</f>
        <v>67</v>
      </c>
      <c r="B84" s="35">
        <f>IF(Pay_Num&lt;&gt;"",DATE(YEAR(Loan_Start),MONTH(Loan_Start)+(Pay_Num)*12/Num_Pmt_Per_Year,DAY(Loan_Start)),"")</f>
        <v>52302</v>
      </c>
      <c r="C84" s="70">
        <f>IF(Pay_Num&lt;&gt;"",I83,"")</f>
        <v>0</v>
      </c>
      <c r="D84" s="70">
        <f>IF(Pay_Num&lt;&gt;"",Scheduled_Monthly_Payment,"")</f>
        <v>71560.087675010276</v>
      </c>
      <c r="E84" s="71">
        <f>IF(AND(Pay_Num&lt;&gt;"",Sched_Pay+Scheduled_Extra_Payments&lt;Beg_Bal),Scheduled_Extra_Payments,IF(AND(Pay_Num&lt;&gt;"",Beg_Bal-Sched_Pay&gt;0),Beg_Bal-Sched_Pay,IF(Pay_Num&lt;&gt;"",0,"")))</f>
        <v>0</v>
      </c>
      <c r="F84" s="70">
        <f>IF(AND(Pay_Num&lt;&gt;"",Sched_Pay+Extra_Pay&lt;Beg_Bal),Sched_Pay+Extra_Pay,IF(Pay_Num&lt;&gt;"",Beg_Bal,""))</f>
        <v>0</v>
      </c>
      <c r="G84" s="70">
        <f>IF(Pay_Num&lt;&gt;"",Total_Pay-Int,"")</f>
        <v>0</v>
      </c>
      <c r="H84" s="70">
        <f>IF(Pay_Num&lt;&gt;"",Beg_Bal*Interest_Rate/Num_Pmt_Per_Year,"")</f>
        <v>0</v>
      </c>
      <c r="I84" s="70">
        <f>IF(AND(Pay_Num&lt;&gt;"",Sched_Pay+Extra_Pay&lt;Beg_Bal),Beg_Bal-Princ,IF(Pay_Num&lt;&gt;"",0,""))</f>
        <v>0</v>
      </c>
      <c r="J84" s="70">
        <f>SUM($H$18:$H84)</f>
        <v>431201.75350020552</v>
      </c>
    </row>
    <row r="85" spans="1:10" x14ac:dyDescent="0.3">
      <c r="A85" s="36">
        <f>IF(Values_Entered,A84+1,"")</f>
        <v>68</v>
      </c>
      <c r="B85" s="35">
        <f>IF(Pay_Num&lt;&gt;"",DATE(YEAR(Loan_Start),MONTH(Loan_Start)+(Pay_Num)*12/Num_Pmt_Per_Year,DAY(Loan_Start)),"")</f>
        <v>52394</v>
      </c>
      <c r="C85" s="70">
        <f>IF(Pay_Num&lt;&gt;"",I84,"")</f>
        <v>0</v>
      </c>
      <c r="D85" s="70">
        <f>IF(Pay_Num&lt;&gt;"",Scheduled_Monthly_Payment,"")</f>
        <v>71560.087675010276</v>
      </c>
      <c r="E85" s="71">
        <f>IF(AND(Pay_Num&lt;&gt;"",Sched_Pay+Scheduled_Extra_Payments&lt;Beg_Bal),Scheduled_Extra_Payments,IF(AND(Pay_Num&lt;&gt;"",Beg_Bal-Sched_Pay&gt;0),Beg_Bal-Sched_Pay,IF(Pay_Num&lt;&gt;"",0,"")))</f>
        <v>0</v>
      </c>
      <c r="F85" s="70">
        <f>IF(AND(Pay_Num&lt;&gt;"",Sched_Pay+Extra_Pay&lt;Beg_Bal),Sched_Pay+Extra_Pay,IF(Pay_Num&lt;&gt;"",Beg_Bal,""))</f>
        <v>0</v>
      </c>
      <c r="G85" s="70">
        <f>IF(Pay_Num&lt;&gt;"",Total_Pay-Int,"")</f>
        <v>0</v>
      </c>
      <c r="H85" s="70">
        <f>IF(Pay_Num&lt;&gt;"",Beg_Bal*Interest_Rate/Num_Pmt_Per_Year,"")</f>
        <v>0</v>
      </c>
      <c r="I85" s="70">
        <f>IF(AND(Pay_Num&lt;&gt;"",Sched_Pay+Extra_Pay&lt;Beg_Bal),Beg_Bal-Princ,IF(Pay_Num&lt;&gt;"",0,""))</f>
        <v>0</v>
      </c>
      <c r="J85" s="70">
        <f>SUM($H$18:$H85)</f>
        <v>431201.75350020552</v>
      </c>
    </row>
    <row r="86" spans="1:10" x14ac:dyDescent="0.3">
      <c r="A86" s="36">
        <f>IF(Values_Entered,A85+1,"")</f>
        <v>69</v>
      </c>
      <c r="B86" s="35">
        <f>IF(Pay_Num&lt;&gt;"",DATE(YEAR(Loan_Start),MONTH(Loan_Start)+(Pay_Num)*12/Num_Pmt_Per_Year,DAY(Loan_Start)),"")</f>
        <v>52486</v>
      </c>
      <c r="C86" s="70">
        <f>IF(Pay_Num&lt;&gt;"",I85,"")</f>
        <v>0</v>
      </c>
      <c r="D86" s="70">
        <f>IF(Pay_Num&lt;&gt;"",Scheduled_Monthly_Payment,"")</f>
        <v>71560.087675010276</v>
      </c>
      <c r="E86" s="71">
        <f>IF(AND(Pay_Num&lt;&gt;"",Sched_Pay+Scheduled_Extra_Payments&lt;Beg_Bal),Scheduled_Extra_Payments,IF(AND(Pay_Num&lt;&gt;"",Beg_Bal-Sched_Pay&gt;0),Beg_Bal-Sched_Pay,IF(Pay_Num&lt;&gt;"",0,"")))</f>
        <v>0</v>
      </c>
      <c r="F86" s="70">
        <f>IF(AND(Pay_Num&lt;&gt;"",Sched_Pay+Extra_Pay&lt;Beg_Bal),Sched_Pay+Extra_Pay,IF(Pay_Num&lt;&gt;"",Beg_Bal,""))</f>
        <v>0</v>
      </c>
      <c r="G86" s="70">
        <f>IF(Pay_Num&lt;&gt;"",Total_Pay-Int,"")</f>
        <v>0</v>
      </c>
      <c r="H86" s="70">
        <f>IF(Pay_Num&lt;&gt;"",Beg_Bal*Interest_Rate/Num_Pmt_Per_Year,"")</f>
        <v>0</v>
      </c>
      <c r="I86" s="70">
        <f>IF(AND(Pay_Num&lt;&gt;"",Sched_Pay+Extra_Pay&lt;Beg_Bal),Beg_Bal-Princ,IF(Pay_Num&lt;&gt;"",0,""))</f>
        <v>0</v>
      </c>
      <c r="J86" s="70">
        <f>SUM($H$18:$H86)</f>
        <v>431201.75350020552</v>
      </c>
    </row>
    <row r="87" spans="1:10" x14ac:dyDescent="0.3">
      <c r="A87" s="36">
        <f>IF(Values_Entered,A86+1,"")</f>
        <v>70</v>
      </c>
      <c r="B87" s="35">
        <f>IF(Pay_Num&lt;&gt;"",DATE(YEAR(Loan_Start),MONTH(Loan_Start)+(Pay_Num)*12/Num_Pmt_Per_Year,DAY(Loan_Start)),"")</f>
        <v>52577</v>
      </c>
      <c r="C87" s="70">
        <f>IF(Pay_Num&lt;&gt;"",I86,"")</f>
        <v>0</v>
      </c>
      <c r="D87" s="70">
        <f>IF(Pay_Num&lt;&gt;"",Scheduled_Monthly_Payment,"")</f>
        <v>71560.087675010276</v>
      </c>
      <c r="E87" s="71">
        <f>IF(AND(Pay_Num&lt;&gt;"",Sched_Pay+Scheduled_Extra_Payments&lt;Beg_Bal),Scheduled_Extra_Payments,IF(AND(Pay_Num&lt;&gt;"",Beg_Bal-Sched_Pay&gt;0),Beg_Bal-Sched_Pay,IF(Pay_Num&lt;&gt;"",0,"")))</f>
        <v>0</v>
      </c>
      <c r="F87" s="70">
        <f>IF(AND(Pay_Num&lt;&gt;"",Sched_Pay+Extra_Pay&lt;Beg_Bal),Sched_Pay+Extra_Pay,IF(Pay_Num&lt;&gt;"",Beg_Bal,""))</f>
        <v>0</v>
      </c>
      <c r="G87" s="70">
        <f>IF(Pay_Num&lt;&gt;"",Total_Pay-Int,"")</f>
        <v>0</v>
      </c>
      <c r="H87" s="70">
        <f>IF(Pay_Num&lt;&gt;"",Beg_Bal*Interest_Rate/Num_Pmt_Per_Year,"")</f>
        <v>0</v>
      </c>
      <c r="I87" s="70">
        <f>IF(AND(Pay_Num&lt;&gt;"",Sched_Pay+Extra_Pay&lt;Beg_Bal),Beg_Bal-Princ,IF(Pay_Num&lt;&gt;"",0,""))</f>
        <v>0</v>
      </c>
      <c r="J87" s="70">
        <f>SUM($H$18:$H87)</f>
        <v>431201.75350020552</v>
      </c>
    </row>
    <row r="88" spans="1:10" x14ac:dyDescent="0.3">
      <c r="A88" s="36">
        <f>IF(Values_Entered,A87+1,"")</f>
        <v>71</v>
      </c>
      <c r="B88" s="35">
        <f>IF(Pay_Num&lt;&gt;"",DATE(YEAR(Loan_Start),MONTH(Loan_Start)+(Pay_Num)*12/Num_Pmt_Per_Year,DAY(Loan_Start)),"")</f>
        <v>52668</v>
      </c>
      <c r="C88" s="70">
        <f>IF(Pay_Num&lt;&gt;"",I87,"")</f>
        <v>0</v>
      </c>
      <c r="D88" s="70">
        <f>IF(Pay_Num&lt;&gt;"",Scheduled_Monthly_Payment,"")</f>
        <v>71560.087675010276</v>
      </c>
      <c r="E88" s="71">
        <f>IF(AND(Pay_Num&lt;&gt;"",Sched_Pay+Scheduled_Extra_Payments&lt;Beg_Bal),Scheduled_Extra_Payments,IF(AND(Pay_Num&lt;&gt;"",Beg_Bal-Sched_Pay&gt;0),Beg_Bal-Sched_Pay,IF(Pay_Num&lt;&gt;"",0,"")))</f>
        <v>0</v>
      </c>
      <c r="F88" s="70">
        <f>IF(AND(Pay_Num&lt;&gt;"",Sched_Pay+Extra_Pay&lt;Beg_Bal),Sched_Pay+Extra_Pay,IF(Pay_Num&lt;&gt;"",Beg_Bal,""))</f>
        <v>0</v>
      </c>
      <c r="G88" s="70">
        <f>IF(Pay_Num&lt;&gt;"",Total_Pay-Int,"")</f>
        <v>0</v>
      </c>
      <c r="H88" s="70">
        <f>IF(Pay_Num&lt;&gt;"",Beg_Bal*Interest_Rate/Num_Pmt_Per_Year,"")</f>
        <v>0</v>
      </c>
      <c r="I88" s="70">
        <f>IF(AND(Pay_Num&lt;&gt;"",Sched_Pay+Extra_Pay&lt;Beg_Bal),Beg_Bal-Princ,IF(Pay_Num&lt;&gt;"",0,""))</f>
        <v>0</v>
      </c>
      <c r="J88" s="70">
        <f>SUM($H$18:$H88)</f>
        <v>431201.75350020552</v>
      </c>
    </row>
    <row r="89" spans="1:10" x14ac:dyDescent="0.3">
      <c r="A89" s="36">
        <f>IF(Values_Entered,A88+1,"")</f>
        <v>72</v>
      </c>
      <c r="B89" s="35">
        <f>IF(Pay_Num&lt;&gt;"",DATE(YEAR(Loan_Start),MONTH(Loan_Start)+(Pay_Num)*12/Num_Pmt_Per_Year,DAY(Loan_Start)),"")</f>
        <v>52760</v>
      </c>
      <c r="C89" s="70">
        <f>IF(Pay_Num&lt;&gt;"",I88,"")</f>
        <v>0</v>
      </c>
      <c r="D89" s="70">
        <f>IF(Pay_Num&lt;&gt;"",Scheduled_Monthly_Payment,"")</f>
        <v>71560.087675010276</v>
      </c>
      <c r="E89" s="71">
        <f>IF(AND(Pay_Num&lt;&gt;"",Sched_Pay+Scheduled_Extra_Payments&lt;Beg_Bal),Scheduled_Extra_Payments,IF(AND(Pay_Num&lt;&gt;"",Beg_Bal-Sched_Pay&gt;0),Beg_Bal-Sched_Pay,IF(Pay_Num&lt;&gt;"",0,"")))</f>
        <v>0</v>
      </c>
      <c r="F89" s="70">
        <f>IF(AND(Pay_Num&lt;&gt;"",Sched_Pay+Extra_Pay&lt;Beg_Bal),Sched_Pay+Extra_Pay,IF(Pay_Num&lt;&gt;"",Beg_Bal,""))</f>
        <v>0</v>
      </c>
      <c r="G89" s="70">
        <f>IF(Pay_Num&lt;&gt;"",Total_Pay-Int,"")</f>
        <v>0</v>
      </c>
      <c r="H89" s="70">
        <f>IF(Pay_Num&lt;&gt;"",Beg_Bal*Interest_Rate/Num_Pmt_Per_Year,"")</f>
        <v>0</v>
      </c>
      <c r="I89" s="70">
        <f>IF(AND(Pay_Num&lt;&gt;"",Sched_Pay+Extra_Pay&lt;Beg_Bal),Beg_Bal-Princ,IF(Pay_Num&lt;&gt;"",0,""))</f>
        <v>0</v>
      </c>
      <c r="J89" s="70">
        <f>SUM($H$18:$H89)</f>
        <v>431201.75350020552</v>
      </c>
    </row>
    <row r="90" spans="1:10" x14ac:dyDescent="0.3">
      <c r="A90" s="36">
        <f>IF(Values_Entered,A89+1,"")</f>
        <v>73</v>
      </c>
      <c r="B90" s="35">
        <f>IF(Pay_Num&lt;&gt;"",DATE(YEAR(Loan_Start),MONTH(Loan_Start)+(Pay_Num)*12/Num_Pmt_Per_Year,DAY(Loan_Start)),"")</f>
        <v>52852</v>
      </c>
      <c r="C90" s="70">
        <f>IF(Pay_Num&lt;&gt;"",I89,"")</f>
        <v>0</v>
      </c>
      <c r="D90" s="70">
        <f>IF(Pay_Num&lt;&gt;"",Scheduled_Monthly_Payment,"")</f>
        <v>71560.087675010276</v>
      </c>
      <c r="E90" s="71">
        <f>IF(AND(Pay_Num&lt;&gt;"",Sched_Pay+Scheduled_Extra_Payments&lt;Beg_Bal),Scheduled_Extra_Payments,IF(AND(Pay_Num&lt;&gt;"",Beg_Bal-Sched_Pay&gt;0),Beg_Bal-Sched_Pay,IF(Pay_Num&lt;&gt;"",0,"")))</f>
        <v>0</v>
      </c>
      <c r="F90" s="70">
        <f>IF(AND(Pay_Num&lt;&gt;"",Sched_Pay+Extra_Pay&lt;Beg_Bal),Sched_Pay+Extra_Pay,IF(Pay_Num&lt;&gt;"",Beg_Bal,""))</f>
        <v>0</v>
      </c>
      <c r="G90" s="70">
        <f>IF(Pay_Num&lt;&gt;"",Total_Pay-Int,"")</f>
        <v>0</v>
      </c>
      <c r="H90" s="70">
        <f>IF(Pay_Num&lt;&gt;"",Beg_Bal*Interest_Rate/Num_Pmt_Per_Year,"")</f>
        <v>0</v>
      </c>
      <c r="I90" s="70">
        <f>IF(AND(Pay_Num&lt;&gt;"",Sched_Pay+Extra_Pay&lt;Beg_Bal),Beg_Bal-Princ,IF(Pay_Num&lt;&gt;"",0,""))</f>
        <v>0</v>
      </c>
      <c r="J90" s="70">
        <f>SUM($H$18:$H90)</f>
        <v>431201.75350020552</v>
      </c>
    </row>
    <row r="91" spans="1:10" x14ac:dyDescent="0.3">
      <c r="A91" s="36">
        <f>IF(Values_Entered,A90+1,"")</f>
        <v>74</v>
      </c>
      <c r="B91" s="35">
        <f>IF(Pay_Num&lt;&gt;"",DATE(YEAR(Loan_Start),MONTH(Loan_Start)+(Pay_Num)*12/Num_Pmt_Per_Year,DAY(Loan_Start)),"")</f>
        <v>52943</v>
      </c>
      <c r="C91" s="70">
        <f>IF(Pay_Num&lt;&gt;"",I90,"")</f>
        <v>0</v>
      </c>
      <c r="D91" s="70">
        <f>IF(Pay_Num&lt;&gt;"",Scheduled_Monthly_Payment,"")</f>
        <v>71560.087675010276</v>
      </c>
      <c r="E91" s="71">
        <f>IF(AND(Pay_Num&lt;&gt;"",Sched_Pay+Scheduled_Extra_Payments&lt;Beg_Bal),Scheduled_Extra_Payments,IF(AND(Pay_Num&lt;&gt;"",Beg_Bal-Sched_Pay&gt;0),Beg_Bal-Sched_Pay,IF(Pay_Num&lt;&gt;"",0,"")))</f>
        <v>0</v>
      </c>
      <c r="F91" s="70">
        <f>IF(AND(Pay_Num&lt;&gt;"",Sched_Pay+Extra_Pay&lt;Beg_Bal),Sched_Pay+Extra_Pay,IF(Pay_Num&lt;&gt;"",Beg_Bal,""))</f>
        <v>0</v>
      </c>
      <c r="G91" s="70">
        <f>IF(Pay_Num&lt;&gt;"",Total_Pay-Int,"")</f>
        <v>0</v>
      </c>
      <c r="H91" s="70">
        <f>IF(Pay_Num&lt;&gt;"",Beg_Bal*Interest_Rate/Num_Pmt_Per_Year,"")</f>
        <v>0</v>
      </c>
      <c r="I91" s="70">
        <f>IF(AND(Pay_Num&lt;&gt;"",Sched_Pay+Extra_Pay&lt;Beg_Bal),Beg_Bal-Princ,IF(Pay_Num&lt;&gt;"",0,""))</f>
        <v>0</v>
      </c>
      <c r="J91" s="70">
        <f>SUM($H$18:$H91)</f>
        <v>431201.75350020552</v>
      </c>
    </row>
    <row r="92" spans="1:10" x14ac:dyDescent="0.3">
      <c r="A92" s="36">
        <f>IF(Values_Entered,A91+1,"")</f>
        <v>75</v>
      </c>
      <c r="B92" s="35">
        <f>IF(Pay_Num&lt;&gt;"",DATE(YEAR(Loan_Start),MONTH(Loan_Start)+(Pay_Num)*12/Num_Pmt_Per_Year,DAY(Loan_Start)),"")</f>
        <v>53033</v>
      </c>
      <c r="C92" s="70">
        <f>IF(Pay_Num&lt;&gt;"",I91,"")</f>
        <v>0</v>
      </c>
      <c r="D92" s="70">
        <f>IF(Pay_Num&lt;&gt;"",Scheduled_Monthly_Payment,"")</f>
        <v>71560.087675010276</v>
      </c>
      <c r="E92" s="71">
        <f>IF(AND(Pay_Num&lt;&gt;"",Sched_Pay+Scheduled_Extra_Payments&lt;Beg_Bal),Scheduled_Extra_Payments,IF(AND(Pay_Num&lt;&gt;"",Beg_Bal-Sched_Pay&gt;0),Beg_Bal-Sched_Pay,IF(Pay_Num&lt;&gt;"",0,"")))</f>
        <v>0</v>
      </c>
      <c r="F92" s="70">
        <f>IF(AND(Pay_Num&lt;&gt;"",Sched_Pay+Extra_Pay&lt;Beg_Bal),Sched_Pay+Extra_Pay,IF(Pay_Num&lt;&gt;"",Beg_Bal,""))</f>
        <v>0</v>
      </c>
      <c r="G92" s="70">
        <f>IF(Pay_Num&lt;&gt;"",Total_Pay-Int,"")</f>
        <v>0</v>
      </c>
      <c r="H92" s="70">
        <f>IF(Pay_Num&lt;&gt;"",Beg_Bal*Interest_Rate/Num_Pmt_Per_Year,"")</f>
        <v>0</v>
      </c>
      <c r="I92" s="70">
        <f>IF(AND(Pay_Num&lt;&gt;"",Sched_Pay+Extra_Pay&lt;Beg_Bal),Beg_Bal-Princ,IF(Pay_Num&lt;&gt;"",0,""))</f>
        <v>0</v>
      </c>
      <c r="J92" s="70">
        <f>SUM($H$18:$H92)</f>
        <v>431201.75350020552</v>
      </c>
    </row>
    <row r="93" spans="1:10" x14ac:dyDescent="0.3">
      <c r="A93" s="36">
        <f>IF(Values_Entered,A92+1,"")</f>
        <v>76</v>
      </c>
      <c r="B93" s="35">
        <f>IF(Pay_Num&lt;&gt;"",DATE(YEAR(Loan_Start),MONTH(Loan_Start)+(Pay_Num)*12/Num_Pmt_Per_Year,DAY(Loan_Start)),"")</f>
        <v>53125</v>
      </c>
      <c r="C93" s="70">
        <f>IF(Pay_Num&lt;&gt;"",I92,"")</f>
        <v>0</v>
      </c>
      <c r="D93" s="70">
        <f>IF(Pay_Num&lt;&gt;"",Scheduled_Monthly_Payment,"")</f>
        <v>71560.087675010276</v>
      </c>
      <c r="E93" s="71">
        <f>IF(AND(Pay_Num&lt;&gt;"",Sched_Pay+Scheduled_Extra_Payments&lt;Beg_Bal),Scheduled_Extra_Payments,IF(AND(Pay_Num&lt;&gt;"",Beg_Bal-Sched_Pay&gt;0),Beg_Bal-Sched_Pay,IF(Pay_Num&lt;&gt;"",0,"")))</f>
        <v>0</v>
      </c>
      <c r="F93" s="70">
        <f>IF(AND(Pay_Num&lt;&gt;"",Sched_Pay+Extra_Pay&lt;Beg_Bal),Sched_Pay+Extra_Pay,IF(Pay_Num&lt;&gt;"",Beg_Bal,""))</f>
        <v>0</v>
      </c>
      <c r="G93" s="70">
        <f>IF(Pay_Num&lt;&gt;"",Total_Pay-Int,"")</f>
        <v>0</v>
      </c>
      <c r="H93" s="70">
        <f>IF(Pay_Num&lt;&gt;"",Beg_Bal*Interest_Rate/Num_Pmt_Per_Year,"")</f>
        <v>0</v>
      </c>
      <c r="I93" s="70">
        <f>IF(AND(Pay_Num&lt;&gt;"",Sched_Pay+Extra_Pay&lt;Beg_Bal),Beg_Bal-Princ,IF(Pay_Num&lt;&gt;"",0,""))</f>
        <v>0</v>
      </c>
      <c r="J93" s="70">
        <f>SUM($H$18:$H93)</f>
        <v>431201.75350020552</v>
      </c>
    </row>
    <row r="94" spans="1:10" x14ac:dyDescent="0.3">
      <c r="A94" s="36">
        <f>IF(Values_Entered,A93+1,"")</f>
        <v>77</v>
      </c>
      <c r="B94" s="35">
        <f>IF(Pay_Num&lt;&gt;"",DATE(YEAR(Loan_Start),MONTH(Loan_Start)+(Pay_Num)*12/Num_Pmt_Per_Year,DAY(Loan_Start)),"")</f>
        <v>53217</v>
      </c>
      <c r="C94" s="70">
        <f>IF(Pay_Num&lt;&gt;"",I93,"")</f>
        <v>0</v>
      </c>
      <c r="D94" s="70">
        <f>IF(Pay_Num&lt;&gt;"",Scheduled_Monthly_Payment,"")</f>
        <v>71560.087675010276</v>
      </c>
      <c r="E94" s="71">
        <f>IF(AND(Pay_Num&lt;&gt;"",Sched_Pay+Scheduled_Extra_Payments&lt;Beg_Bal),Scheduled_Extra_Payments,IF(AND(Pay_Num&lt;&gt;"",Beg_Bal-Sched_Pay&gt;0),Beg_Bal-Sched_Pay,IF(Pay_Num&lt;&gt;"",0,"")))</f>
        <v>0</v>
      </c>
      <c r="F94" s="70">
        <f>IF(AND(Pay_Num&lt;&gt;"",Sched_Pay+Extra_Pay&lt;Beg_Bal),Sched_Pay+Extra_Pay,IF(Pay_Num&lt;&gt;"",Beg_Bal,""))</f>
        <v>0</v>
      </c>
      <c r="G94" s="70">
        <f>IF(Pay_Num&lt;&gt;"",Total_Pay-Int,"")</f>
        <v>0</v>
      </c>
      <c r="H94" s="70">
        <f>IF(Pay_Num&lt;&gt;"",Beg_Bal*Interest_Rate/Num_Pmt_Per_Year,"")</f>
        <v>0</v>
      </c>
      <c r="I94" s="70">
        <f>IF(AND(Pay_Num&lt;&gt;"",Sched_Pay+Extra_Pay&lt;Beg_Bal),Beg_Bal-Princ,IF(Pay_Num&lt;&gt;"",0,""))</f>
        <v>0</v>
      </c>
      <c r="J94" s="70">
        <f>SUM($H$18:$H94)</f>
        <v>431201.75350020552</v>
      </c>
    </row>
    <row r="95" spans="1:10" x14ac:dyDescent="0.3">
      <c r="A95" s="36">
        <f>IF(Values_Entered,A94+1,"")</f>
        <v>78</v>
      </c>
      <c r="B95" s="35">
        <f>IF(Pay_Num&lt;&gt;"",DATE(YEAR(Loan_Start),MONTH(Loan_Start)+(Pay_Num)*12/Num_Pmt_Per_Year,DAY(Loan_Start)),"")</f>
        <v>53308</v>
      </c>
      <c r="C95" s="70">
        <f>IF(Pay_Num&lt;&gt;"",I94,"")</f>
        <v>0</v>
      </c>
      <c r="D95" s="70">
        <f>IF(Pay_Num&lt;&gt;"",Scheduled_Monthly_Payment,"")</f>
        <v>71560.087675010276</v>
      </c>
      <c r="E95" s="71">
        <f>IF(AND(Pay_Num&lt;&gt;"",Sched_Pay+Scheduled_Extra_Payments&lt;Beg_Bal),Scheduled_Extra_Payments,IF(AND(Pay_Num&lt;&gt;"",Beg_Bal-Sched_Pay&gt;0),Beg_Bal-Sched_Pay,IF(Pay_Num&lt;&gt;"",0,"")))</f>
        <v>0</v>
      </c>
      <c r="F95" s="70">
        <f>IF(AND(Pay_Num&lt;&gt;"",Sched_Pay+Extra_Pay&lt;Beg_Bal),Sched_Pay+Extra_Pay,IF(Pay_Num&lt;&gt;"",Beg_Bal,""))</f>
        <v>0</v>
      </c>
      <c r="G95" s="70">
        <f>IF(Pay_Num&lt;&gt;"",Total_Pay-Int,"")</f>
        <v>0</v>
      </c>
      <c r="H95" s="70">
        <f>IF(Pay_Num&lt;&gt;"",Beg_Bal*Interest_Rate/Num_Pmt_Per_Year,"")</f>
        <v>0</v>
      </c>
      <c r="I95" s="70">
        <f>IF(AND(Pay_Num&lt;&gt;"",Sched_Pay+Extra_Pay&lt;Beg_Bal),Beg_Bal-Princ,IF(Pay_Num&lt;&gt;"",0,""))</f>
        <v>0</v>
      </c>
      <c r="J95" s="70">
        <f>SUM($H$18:$H95)</f>
        <v>431201.75350020552</v>
      </c>
    </row>
    <row r="96" spans="1:10" x14ac:dyDescent="0.3">
      <c r="A96" s="36">
        <f>IF(Values_Entered,A95+1,"")</f>
        <v>79</v>
      </c>
      <c r="B96" s="35">
        <f>IF(Pay_Num&lt;&gt;"",DATE(YEAR(Loan_Start),MONTH(Loan_Start)+(Pay_Num)*12/Num_Pmt_Per_Year,DAY(Loan_Start)),"")</f>
        <v>53398</v>
      </c>
      <c r="C96" s="70">
        <f>IF(Pay_Num&lt;&gt;"",I95,"")</f>
        <v>0</v>
      </c>
      <c r="D96" s="70">
        <f>IF(Pay_Num&lt;&gt;"",Scheduled_Monthly_Payment,"")</f>
        <v>71560.087675010276</v>
      </c>
      <c r="E96" s="71">
        <f>IF(AND(Pay_Num&lt;&gt;"",Sched_Pay+Scheduled_Extra_Payments&lt;Beg_Bal),Scheduled_Extra_Payments,IF(AND(Pay_Num&lt;&gt;"",Beg_Bal-Sched_Pay&gt;0),Beg_Bal-Sched_Pay,IF(Pay_Num&lt;&gt;"",0,"")))</f>
        <v>0</v>
      </c>
      <c r="F96" s="70">
        <f>IF(AND(Pay_Num&lt;&gt;"",Sched_Pay+Extra_Pay&lt;Beg_Bal),Sched_Pay+Extra_Pay,IF(Pay_Num&lt;&gt;"",Beg_Bal,""))</f>
        <v>0</v>
      </c>
      <c r="G96" s="70">
        <f>IF(Pay_Num&lt;&gt;"",Total_Pay-Int,"")</f>
        <v>0</v>
      </c>
      <c r="H96" s="70">
        <f>IF(Pay_Num&lt;&gt;"",Beg_Bal*Interest_Rate/Num_Pmt_Per_Year,"")</f>
        <v>0</v>
      </c>
      <c r="I96" s="70">
        <f>IF(AND(Pay_Num&lt;&gt;"",Sched_Pay+Extra_Pay&lt;Beg_Bal),Beg_Bal-Princ,IF(Pay_Num&lt;&gt;"",0,""))</f>
        <v>0</v>
      </c>
      <c r="J96" s="70">
        <f>SUM($H$18:$H96)</f>
        <v>431201.75350020552</v>
      </c>
    </row>
    <row r="97" spans="1:10" x14ac:dyDescent="0.3">
      <c r="A97" s="36">
        <f>IF(Values_Entered,A96+1,"")</f>
        <v>80</v>
      </c>
      <c r="B97" s="35">
        <f>IF(Pay_Num&lt;&gt;"",DATE(YEAR(Loan_Start),MONTH(Loan_Start)+(Pay_Num)*12/Num_Pmt_Per_Year,DAY(Loan_Start)),"")</f>
        <v>53490</v>
      </c>
      <c r="C97" s="70">
        <f>IF(Pay_Num&lt;&gt;"",I96,"")</f>
        <v>0</v>
      </c>
      <c r="D97" s="70">
        <f>IF(Pay_Num&lt;&gt;"",Scheduled_Monthly_Payment,"")</f>
        <v>71560.087675010276</v>
      </c>
      <c r="E97" s="71">
        <f>IF(AND(Pay_Num&lt;&gt;"",Sched_Pay+Scheduled_Extra_Payments&lt;Beg_Bal),Scheduled_Extra_Payments,IF(AND(Pay_Num&lt;&gt;"",Beg_Bal-Sched_Pay&gt;0),Beg_Bal-Sched_Pay,IF(Pay_Num&lt;&gt;"",0,"")))</f>
        <v>0</v>
      </c>
      <c r="F97" s="70">
        <f>IF(AND(Pay_Num&lt;&gt;"",Sched_Pay+Extra_Pay&lt;Beg_Bal),Sched_Pay+Extra_Pay,IF(Pay_Num&lt;&gt;"",Beg_Bal,""))</f>
        <v>0</v>
      </c>
      <c r="G97" s="70">
        <f>IF(Pay_Num&lt;&gt;"",Total_Pay-Int,"")</f>
        <v>0</v>
      </c>
      <c r="H97" s="70">
        <f>IF(Pay_Num&lt;&gt;"",Beg_Bal*Interest_Rate/Num_Pmt_Per_Year,"")</f>
        <v>0</v>
      </c>
      <c r="I97" s="70">
        <f>IF(AND(Pay_Num&lt;&gt;"",Sched_Pay+Extra_Pay&lt;Beg_Bal),Beg_Bal-Princ,IF(Pay_Num&lt;&gt;"",0,""))</f>
        <v>0</v>
      </c>
      <c r="J97" s="70">
        <f>SUM($H$18:$H97)</f>
        <v>431201.75350020552</v>
      </c>
    </row>
    <row r="98" spans="1:10" x14ac:dyDescent="0.3">
      <c r="A98" s="36">
        <f>IF(Values_Entered,A97+1,"")</f>
        <v>81</v>
      </c>
      <c r="B98" s="35">
        <f>IF(Pay_Num&lt;&gt;"",DATE(YEAR(Loan_Start),MONTH(Loan_Start)+(Pay_Num)*12/Num_Pmt_Per_Year,DAY(Loan_Start)),"")</f>
        <v>53582</v>
      </c>
      <c r="C98" s="70">
        <f>IF(Pay_Num&lt;&gt;"",I97,"")</f>
        <v>0</v>
      </c>
      <c r="D98" s="70">
        <f>IF(Pay_Num&lt;&gt;"",Scheduled_Monthly_Payment,"")</f>
        <v>71560.087675010276</v>
      </c>
      <c r="E98" s="71">
        <f>IF(AND(Pay_Num&lt;&gt;"",Sched_Pay+Scheduled_Extra_Payments&lt;Beg_Bal),Scheduled_Extra_Payments,IF(AND(Pay_Num&lt;&gt;"",Beg_Bal-Sched_Pay&gt;0),Beg_Bal-Sched_Pay,IF(Pay_Num&lt;&gt;"",0,"")))</f>
        <v>0</v>
      </c>
      <c r="F98" s="70">
        <f>IF(AND(Pay_Num&lt;&gt;"",Sched_Pay+Extra_Pay&lt;Beg_Bal),Sched_Pay+Extra_Pay,IF(Pay_Num&lt;&gt;"",Beg_Bal,""))</f>
        <v>0</v>
      </c>
      <c r="G98" s="70">
        <f>IF(Pay_Num&lt;&gt;"",Total_Pay-Int,"")</f>
        <v>0</v>
      </c>
      <c r="H98" s="70">
        <f>IF(Pay_Num&lt;&gt;"",Beg_Bal*Interest_Rate/Num_Pmt_Per_Year,"")</f>
        <v>0</v>
      </c>
      <c r="I98" s="70">
        <f>IF(AND(Pay_Num&lt;&gt;"",Sched_Pay+Extra_Pay&lt;Beg_Bal),Beg_Bal-Princ,IF(Pay_Num&lt;&gt;"",0,""))</f>
        <v>0</v>
      </c>
      <c r="J98" s="70">
        <f>SUM($H$18:$H98)</f>
        <v>431201.75350020552</v>
      </c>
    </row>
    <row r="99" spans="1:10" x14ac:dyDescent="0.3">
      <c r="A99" s="36">
        <f>IF(Values_Entered,A98+1,"")</f>
        <v>82</v>
      </c>
      <c r="B99" s="35">
        <f>IF(Pay_Num&lt;&gt;"",DATE(YEAR(Loan_Start),MONTH(Loan_Start)+(Pay_Num)*12/Num_Pmt_Per_Year,DAY(Loan_Start)),"")</f>
        <v>53673</v>
      </c>
      <c r="C99" s="70">
        <f>IF(Pay_Num&lt;&gt;"",I98,"")</f>
        <v>0</v>
      </c>
      <c r="D99" s="70">
        <f>IF(Pay_Num&lt;&gt;"",Scheduled_Monthly_Payment,"")</f>
        <v>71560.087675010276</v>
      </c>
      <c r="E99" s="71">
        <f>IF(AND(Pay_Num&lt;&gt;"",Sched_Pay+Scheduled_Extra_Payments&lt;Beg_Bal),Scheduled_Extra_Payments,IF(AND(Pay_Num&lt;&gt;"",Beg_Bal-Sched_Pay&gt;0),Beg_Bal-Sched_Pay,IF(Pay_Num&lt;&gt;"",0,"")))</f>
        <v>0</v>
      </c>
      <c r="F99" s="70">
        <f>IF(AND(Pay_Num&lt;&gt;"",Sched_Pay+Extra_Pay&lt;Beg_Bal),Sched_Pay+Extra_Pay,IF(Pay_Num&lt;&gt;"",Beg_Bal,""))</f>
        <v>0</v>
      </c>
      <c r="G99" s="70">
        <f>IF(Pay_Num&lt;&gt;"",Total_Pay-Int,"")</f>
        <v>0</v>
      </c>
      <c r="H99" s="70">
        <f>IF(Pay_Num&lt;&gt;"",Beg_Bal*Interest_Rate/Num_Pmt_Per_Year,"")</f>
        <v>0</v>
      </c>
      <c r="I99" s="70">
        <f>IF(AND(Pay_Num&lt;&gt;"",Sched_Pay+Extra_Pay&lt;Beg_Bal),Beg_Bal-Princ,IF(Pay_Num&lt;&gt;"",0,""))</f>
        <v>0</v>
      </c>
      <c r="J99" s="70">
        <f>SUM($H$18:$H99)</f>
        <v>431201.75350020552</v>
      </c>
    </row>
    <row r="100" spans="1:10" x14ac:dyDescent="0.3">
      <c r="A100" s="36">
        <f>IF(Values_Entered,A99+1,"")</f>
        <v>83</v>
      </c>
      <c r="B100" s="35">
        <f>IF(Pay_Num&lt;&gt;"",DATE(YEAR(Loan_Start),MONTH(Loan_Start)+(Pay_Num)*12/Num_Pmt_Per_Year,DAY(Loan_Start)),"")</f>
        <v>53763</v>
      </c>
      <c r="C100" s="70">
        <f>IF(Pay_Num&lt;&gt;"",I99,"")</f>
        <v>0</v>
      </c>
      <c r="D100" s="70">
        <f>IF(Pay_Num&lt;&gt;"",Scheduled_Monthly_Payment,"")</f>
        <v>71560.087675010276</v>
      </c>
      <c r="E100" s="71">
        <f>IF(AND(Pay_Num&lt;&gt;"",Sched_Pay+Scheduled_Extra_Payments&lt;Beg_Bal),Scheduled_Extra_Payments,IF(AND(Pay_Num&lt;&gt;"",Beg_Bal-Sched_Pay&gt;0),Beg_Bal-Sched_Pay,IF(Pay_Num&lt;&gt;"",0,"")))</f>
        <v>0</v>
      </c>
      <c r="F100" s="70">
        <f>IF(AND(Pay_Num&lt;&gt;"",Sched_Pay+Extra_Pay&lt;Beg_Bal),Sched_Pay+Extra_Pay,IF(Pay_Num&lt;&gt;"",Beg_Bal,""))</f>
        <v>0</v>
      </c>
      <c r="G100" s="70">
        <f>IF(Pay_Num&lt;&gt;"",Total_Pay-Int,"")</f>
        <v>0</v>
      </c>
      <c r="H100" s="70">
        <f>IF(Pay_Num&lt;&gt;"",Beg_Bal*Interest_Rate/Num_Pmt_Per_Year,"")</f>
        <v>0</v>
      </c>
      <c r="I100" s="70">
        <f>IF(AND(Pay_Num&lt;&gt;"",Sched_Pay+Extra_Pay&lt;Beg_Bal),Beg_Bal-Princ,IF(Pay_Num&lt;&gt;"",0,""))</f>
        <v>0</v>
      </c>
      <c r="J100" s="70">
        <f>SUM($H$18:$H100)</f>
        <v>431201.75350020552</v>
      </c>
    </row>
    <row r="101" spans="1:10" x14ac:dyDescent="0.3">
      <c r="A101" s="36">
        <f>IF(Values_Entered,A100+1,"")</f>
        <v>84</v>
      </c>
      <c r="B101" s="35">
        <f>IF(Pay_Num&lt;&gt;"",DATE(YEAR(Loan_Start),MONTH(Loan_Start)+(Pay_Num)*12/Num_Pmt_Per_Year,DAY(Loan_Start)),"")</f>
        <v>53855</v>
      </c>
      <c r="C101" s="70">
        <f>IF(Pay_Num&lt;&gt;"",I100,"")</f>
        <v>0</v>
      </c>
      <c r="D101" s="70">
        <f>IF(Pay_Num&lt;&gt;"",Scheduled_Monthly_Payment,"")</f>
        <v>71560.087675010276</v>
      </c>
      <c r="E101" s="71">
        <f>IF(AND(Pay_Num&lt;&gt;"",Sched_Pay+Scheduled_Extra_Payments&lt;Beg_Bal),Scheduled_Extra_Payments,IF(AND(Pay_Num&lt;&gt;"",Beg_Bal-Sched_Pay&gt;0),Beg_Bal-Sched_Pay,IF(Pay_Num&lt;&gt;"",0,"")))</f>
        <v>0</v>
      </c>
      <c r="F101" s="70">
        <f>IF(AND(Pay_Num&lt;&gt;"",Sched_Pay+Extra_Pay&lt;Beg_Bal),Sched_Pay+Extra_Pay,IF(Pay_Num&lt;&gt;"",Beg_Bal,""))</f>
        <v>0</v>
      </c>
      <c r="G101" s="70">
        <f>IF(Pay_Num&lt;&gt;"",Total_Pay-Int,"")</f>
        <v>0</v>
      </c>
      <c r="H101" s="70">
        <f>IF(Pay_Num&lt;&gt;"",Beg_Bal*Interest_Rate/Num_Pmt_Per_Year,"")</f>
        <v>0</v>
      </c>
      <c r="I101" s="70">
        <f>IF(AND(Pay_Num&lt;&gt;"",Sched_Pay+Extra_Pay&lt;Beg_Bal),Beg_Bal-Princ,IF(Pay_Num&lt;&gt;"",0,""))</f>
        <v>0</v>
      </c>
      <c r="J101" s="70">
        <f>SUM($H$18:$H101)</f>
        <v>431201.75350020552</v>
      </c>
    </row>
    <row r="102" spans="1:10" x14ac:dyDescent="0.3">
      <c r="A102" s="36">
        <f>IF(Values_Entered,A101+1,"")</f>
        <v>85</v>
      </c>
      <c r="B102" s="35">
        <f>IF(Pay_Num&lt;&gt;"",DATE(YEAR(Loan_Start),MONTH(Loan_Start)+(Pay_Num)*12/Num_Pmt_Per_Year,DAY(Loan_Start)),"")</f>
        <v>53947</v>
      </c>
      <c r="C102" s="70">
        <f>IF(Pay_Num&lt;&gt;"",I101,"")</f>
        <v>0</v>
      </c>
      <c r="D102" s="70">
        <f>IF(Pay_Num&lt;&gt;"",Scheduled_Monthly_Payment,"")</f>
        <v>71560.087675010276</v>
      </c>
      <c r="E102" s="71">
        <f>IF(AND(Pay_Num&lt;&gt;"",Sched_Pay+Scheduled_Extra_Payments&lt;Beg_Bal),Scheduled_Extra_Payments,IF(AND(Pay_Num&lt;&gt;"",Beg_Bal-Sched_Pay&gt;0),Beg_Bal-Sched_Pay,IF(Pay_Num&lt;&gt;"",0,"")))</f>
        <v>0</v>
      </c>
      <c r="F102" s="70">
        <f>IF(AND(Pay_Num&lt;&gt;"",Sched_Pay+Extra_Pay&lt;Beg_Bal),Sched_Pay+Extra_Pay,IF(Pay_Num&lt;&gt;"",Beg_Bal,""))</f>
        <v>0</v>
      </c>
      <c r="G102" s="70">
        <f>IF(Pay_Num&lt;&gt;"",Total_Pay-Int,"")</f>
        <v>0</v>
      </c>
      <c r="H102" s="70">
        <f>IF(Pay_Num&lt;&gt;"",Beg_Bal*Interest_Rate/Num_Pmt_Per_Year,"")</f>
        <v>0</v>
      </c>
      <c r="I102" s="70">
        <f>IF(AND(Pay_Num&lt;&gt;"",Sched_Pay+Extra_Pay&lt;Beg_Bal),Beg_Bal-Princ,IF(Pay_Num&lt;&gt;"",0,""))</f>
        <v>0</v>
      </c>
      <c r="J102" s="70">
        <f>SUM($H$18:$H102)</f>
        <v>431201.75350020552</v>
      </c>
    </row>
    <row r="103" spans="1:10" x14ac:dyDescent="0.3">
      <c r="A103" s="36">
        <f>IF(Values_Entered,A102+1,"")</f>
        <v>86</v>
      </c>
      <c r="B103" s="35">
        <f>IF(Pay_Num&lt;&gt;"",DATE(YEAR(Loan_Start),MONTH(Loan_Start)+(Pay_Num)*12/Num_Pmt_Per_Year,DAY(Loan_Start)),"")</f>
        <v>54038</v>
      </c>
      <c r="C103" s="70">
        <f>IF(Pay_Num&lt;&gt;"",I102,"")</f>
        <v>0</v>
      </c>
      <c r="D103" s="70">
        <f>IF(Pay_Num&lt;&gt;"",Scheduled_Monthly_Payment,"")</f>
        <v>71560.087675010276</v>
      </c>
      <c r="E103" s="71">
        <f>IF(AND(Pay_Num&lt;&gt;"",Sched_Pay+Scheduled_Extra_Payments&lt;Beg_Bal),Scheduled_Extra_Payments,IF(AND(Pay_Num&lt;&gt;"",Beg_Bal-Sched_Pay&gt;0),Beg_Bal-Sched_Pay,IF(Pay_Num&lt;&gt;"",0,"")))</f>
        <v>0</v>
      </c>
      <c r="F103" s="70">
        <f>IF(AND(Pay_Num&lt;&gt;"",Sched_Pay+Extra_Pay&lt;Beg_Bal),Sched_Pay+Extra_Pay,IF(Pay_Num&lt;&gt;"",Beg_Bal,""))</f>
        <v>0</v>
      </c>
      <c r="G103" s="70">
        <f>IF(Pay_Num&lt;&gt;"",Total_Pay-Int,"")</f>
        <v>0</v>
      </c>
      <c r="H103" s="70">
        <f>IF(Pay_Num&lt;&gt;"",Beg_Bal*Interest_Rate/Num_Pmt_Per_Year,"")</f>
        <v>0</v>
      </c>
      <c r="I103" s="70">
        <f>IF(AND(Pay_Num&lt;&gt;"",Sched_Pay+Extra_Pay&lt;Beg_Bal),Beg_Bal-Princ,IF(Pay_Num&lt;&gt;"",0,""))</f>
        <v>0</v>
      </c>
      <c r="J103" s="70">
        <f>SUM($H$18:$H103)</f>
        <v>431201.75350020552</v>
      </c>
    </row>
    <row r="104" spans="1:10" x14ac:dyDescent="0.3">
      <c r="A104" s="36">
        <f>IF(Values_Entered,A103+1,"")</f>
        <v>87</v>
      </c>
      <c r="B104" s="35">
        <f>IF(Pay_Num&lt;&gt;"",DATE(YEAR(Loan_Start),MONTH(Loan_Start)+(Pay_Num)*12/Num_Pmt_Per_Year,DAY(Loan_Start)),"")</f>
        <v>54129</v>
      </c>
      <c r="C104" s="70">
        <f>IF(Pay_Num&lt;&gt;"",I103,"")</f>
        <v>0</v>
      </c>
      <c r="D104" s="70">
        <f>IF(Pay_Num&lt;&gt;"",Scheduled_Monthly_Payment,"")</f>
        <v>71560.087675010276</v>
      </c>
      <c r="E104" s="71">
        <f>IF(AND(Pay_Num&lt;&gt;"",Sched_Pay+Scheduled_Extra_Payments&lt;Beg_Bal),Scheduled_Extra_Payments,IF(AND(Pay_Num&lt;&gt;"",Beg_Bal-Sched_Pay&gt;0),Beg_Bal-Sched_Pay,IF(Pay_Num&lt;&gt;"",0,"")))</f>
        <v>0</v>
      </c>
      <c r="F104" s="70">
        <f>IF(AND(Pay_Num&lt;&gt;"",Sched_Pay+Extra_Pay&lt;Beg_Bal),Sched_Pay+Extra_Pay,IF(Pay_Num&lt;&gt;"",Beg_Bal,""))</f>
        <v>0</v>
      </c>
      <c r="G104" s="70">
        <f>IF(Pay_Num&lt;&gt;"",Total_Pay-Int,"")</f>
        <v>0</v>
      </c>
      <c r="H104" s="70">
        <f>IF(Pay_Num&lt;&gt;"",Beg_Bal*Interest_Rate/Num_Pmt_Per_Year,"")</f>
        <v>0</v>
      </c>
      <c r="I104" s="70">
        <f>IF(AND(Pay_Num&lt;&gt;"",Sched_Pay+Extra_Pay&lt;Beg_Bal),Beg_Bal-Princ,IF(Pay_Num&lt;&gt;"",0,""))</f>
        <v>0</v>
      </c>
      <c r="J104" s="70">
        <f>SUM($H$18:$H104)</f>
        <v>431201.75350020552</v>
      </c>
    </row>
    <row r="105" spans="1:10" x14ac:dyDescent="0.3">
      <c r="A105" s="36">
        <f>IF(Values_Entered,A104+1,"")</f>
        <v>88</v>
      </c>
      <c r="B105" s="35">
        <f>IF(Pay_Num&lt;&gt;"",DATE(YEAR(Loan_Start),MONTH(Loan_Start)+(Pay_Num)*12/Num_Pmt_Per_Year,DAY(Loan_Start)),"")</f>
        <v>54221</v>
      </c>
      <c r="C105" s="70">
        <f>IF(Pay_Num&lt;&gt;"",I104,"")</f>
        <v>0</v>
      </c>
      <c r="D105" s="70">
        <f>IF(Pay_Num&lt;&gt;"",Scheduled_Monthly_Payment,"")</f>
        <v>71560.087675010276</v>
      </c>
      <c r="E105" s="71">
        <f>IF(AND(Pay_Num&lt;&gt;"",Sched_Pay+Scheduled_Extra_Payments&lt;Beg_Bal),Scheduled_Extra_Payments,IF(AND(Pay_Num&lt;&gt;"",Beg_Bal-Sched_Pay&gt;0),Beg_Bal-Sched_Pay,IF(Pay_Num&lt;&gt;"",0,"")))</f>
        <v>0</v>
      </c>
      <c r="F105" s="70">
        <f>IF(AND(Pay_Num&lt;&gt;"",Sched_Pay+Extra_Pay&lt;Beg_Bal),Sched_Pay+Extra_Pay,IF(Pay_Num&lt;&gt;"",Beg_Bal,""))</f>
        <v>0</v>
      </c>
      <c r="G105" s="70">
        <f>IF(Pay_Num&lt;&gt;"",Total_Pay-Int,"")</f>
        <v>0</v>
      </c>
      <c r="H105" s="70">
        <f>IF(Pay_Num&lt;&gt;"",Beg_Bal*Interest_Rate/Num_Pmt_Per_Year,"")</f>
        <v>0</v>
      </c>
      <c r="I105" s="70">
        <f>IF(AND(Pay_Num&lt;&gt;"",Sched_Pay+Extra_Pay&lt;Beg_Bal),Beg_Bal-Princ,IF(Pay_Num&lt;&gt;"",0,""))</f>
        <v>0</v>
      </c>
      <c r="J105" s="70">
        <f>SUM($H$18:$H105)</f>
        <v>431201.75350020552</v>
      </c>
    </row>
    <row r="106" spans="1:10" x14ac:dyDescent="0.3">
      <c r="A106" s="36">
        <f>IF(Values_Entered,A105+1,"")</f>
        <v>89</v>
      </c>
      <c r="B106" s="35">
        <f>IF(Pay_Num&lt;&gt;"",DATE(YEAR(Loan_Start),MONTH(Loan_Start)+(Pay_Num)*12/Num_Pmt_Per_Year,DAY(Loan_Start)),"")</f>
        <v>54313</v>
      </c>
      <c r="C106" s="70">
        <f>IF(Pay_Num&lt;&gt;"",I105,"")</f>
        <v>0</v>
      </c>
      <c r="D106" s="70">
        <f>IF(Pay_Num&lt;&gt;"",Scheduled_Monthly_Payment,"")</f>
        <v>71560.087675010276</v>
      </c>
      <c r="E106" s="71">
        <f>IF(AND(Pay_Num&lt;&gt;"",Sched_Pay+Scheduled_Extra_Payments&lt;Beg_Bal),Scheduled_Extra_Payments,IF(AND(Pay_Num&lt;&gt;"",Beg_Bal-Sched_Pay&gt;0),Beg_Bal-Sched_Pay,IF(Pay_Num&lt;&gt;"",0,"")))</f>
        <v>0</v>
      </c>
      <c r="F106" s="70">
        <f>IF(AND(Pay_Num&lt;&gt;"",Sched_Pay+Extra_Pay&lt;Beg_Bal),Sched_Pay+Extra_Pay,IF(Pay_Num&lt;&gt;"",Beg_Bal,""))</f>
        <v>0</v>
      </c>
      <c r="G106" s="70">
        <f>IF(Pay_Num&lt;&gt;"",Total_Pay-Int,"")</f>
        <v>0</v>
      </c>
      <c r="H106" s="70">
        <f>IF(Pay_Num&lt;&gt;"",Beg_Bal*Interest_Rate/Num_Pmt_Per_Year,"")</f>
        <v>0</v>
      </c>
      <c r="I106" s="70">
        <f>IF(AND(Pay_Num&lt;&gt;"",Sched_Pay+Extra_Pay&lt;Beg_Bal),Beg_Bal-Princ,IF(Pay_Num&lt;&gt;"",0,""))</f>
        <v>0</v>
      </c>
      <c r="J106" s="70">
        <f>SUM($H$18:$H106)</f>
        <v>431201.75350020552</v>
      </c>
    </row>
    <row r="107" spans="1:10" x14ac:dyDescent="0.3">
      <c r="A107" s="36">
        <f>IF(Values_Entered,A106+1,"")</f>
        <v>90</v>
      </c>
      <c r="B107" s="35">
        <f>IF(Pay_Num&lt;&gt;"",DATE(YEAR(Loan_Start),MONTH(Loan_Start)+(Pay_Num)*12/Num_Pmt_Per_Year,DAY(Loan_Start)),"")</f>
        <v>54404</v>
      </c>
      <c r="C107" s="70">
        <f>IF(Pay_Num&lt;&gt;"",I106,"")</f>
        <v>0</v>
      </c>
      <c r="D107" s="70">
        <f>IF(Pay_Num&lt;&gt;"",Scheduled_Monthly_Payment,"")</f>
        <v>71560.087675010276</v>
      </c>
      <c r="E107" s="71">
        <f>IF(AND(Pay_Num&lt;&gt;"",Sched_Pay+Scheduled_Extra_Payments&lt;Beg_Bal),Scheduled_Extra_Payments,IF(AND(Pay_Num&lt;&gt;"",Beg_Bal-Sched_Pay&gt;0),Beg_Bal-Sched_Pay,IF(Pay_Num&lt;&gt;"",0,"")))</f>
        <v>0</v>
      </c>
      <c r="F107" s="70">
        <f>IF(AND(Pay_Num&lt;&gt;"",Sched_Pay+Extra_Pay&lt;Beg_Bal),Sched_Pay+Extra_Pay,IF(Pay_Num&lt;&gt;"",Beg_Bal,""))</f>
        <v>0</v>
      </c>
      <c r="G107" s="70">
        <f>IF(Pay_Num&lt;&gt;"",Total_Pay-Int,"")</f>
        <v>0</v>
      </c>
      <c r="H107" s="70">
        <f>IF(Pay_Num&lt;&gt;"",Beg_Bal*Interest_Rate/Num_Pmt_Per_Year,"")</f>
        <v>0</v>
      </c>
      <c r="I107" s="70">
        <f>IF(AND(Pay_Num&lt;&gt;"",Sched_Pay+Extra_Pay&lt;Beg_Bal),Beg_Bal-Princ,IF(Pay_Num&lt;&gt;"",0,""))</f>
        <v>0</v>
      </c>
      <c r="J107" s="70">
        <f>SUM($H$18:$H107)</f>
        <v>431201.75350020552</v>
      </c>
    </row>
    <row r="108" spans="1:10" x14ac:dyDescent="0.3">
      <c r="A108" s="36">
        <f>IF(Values_Entered,A107+1,"")</f>
        <v>91</v>
      </c>
      <c r="B108" s="35">
        <f>IF(Pay_Num&lt;&gt;"",DATE(YEAR(Loan_Start),MONTH(Loan_Start)+(Pay_Num)*12/Num_Pmt_Per_Year,DAY(Loan_Start)),"")</f>
        <v>54494</v>
      </c>
      <c r="C108" s="70">
        <f>IF(Pay_Num&lt;&gt;"",I107,"")</f>
        <v>0</v>
      </c>
      <c r="D108" s="70">
        <f>IF(Pay_Num&lt;&gt;"",Scheduled_Monthly_Payment,"")</f>
        <v>71560.087675010276</v>
      </c>
      <c r="E108" s="71">
        <f>IF(AND(Pay_Num&lt;&gt;"",Sched_Pay+Scheduled_Extra_Payments&lt;Beg_Bal),Scheduled_Extra_Payments,IF(AND(Pay_Num&lt;&gt;"",Beg_Bal-Sched_Pay&gt;0),Beg_Bal-Sched_Pay,IF(Pay_Num&lt;&gt;"",0,"")))</f>
        <v>0</v>
      </c>
      <c r="F108" s="70">
        <f>IF(AND(Pay_Num&lt;&gt;"",Sched_Pay+Extra_Pay&lt;Beg_Bal),Sched_Pay+Extra_Pay,IF(Pay_Num&lt;&gt;"",Beg_Bal,""))</f>
        <v>0</v>
      </c>
      <c r="G108" s="70">
        <f>IF(Pay_Num&lt;&gt;"",Total_Pay-Int,"")</f>
        <v>0</v>
      </c>
      <c r="H108" s="70">
        <f>IF(Pay_Num&lt;&gt;"",Beg_Bal*Interest_Rate/Num_Pmt_Per_Year,"")</f>
        <v>0</v>
      </c>
      <c r="I108" s="70">
        <f>IF(AND(Pay_Num&lt;&gt;"",Sched_Pay+Extra_Pay&lt;Beg_Bal),Beg_Bal-Princ,IF(Pay_Num&lt;&gt;"",0,""))</f>
        <v>0</v>
      </c>
      <c r="J108" s="70">
        <f>SUM($H$18:$H108)</f>
        <v>431201.75350020552</v>
      </c>
    </row>
    <row r="109" spans="1:10" x14ac:dyDescent="0.3">
      <c r="A109" s="36">
        <f>IF(Values_Entered,A108+1,"")</f>
        <v>92</v>
      </c>
      <c r="B109" s="35">
        <f>IF(Pay_Num&lt;&gt;"",DATE(YEAR(Loan_Start),MONTH(Loan_Start)+(Pay_Num)*12/Num_Pmt_Per_Year,DAY(Loan_Start)),"")</f>
        <v>54586</v>
      </c>
      <c r="C109" s="70">
        <f>IF(Pay_Num&lt;&gt;"",I108,"")</f>
        <v>0</v>
      </c>
      <c r="D109" s="70">
        <f>IF(Pay_Num&lt;&gt;"",Scheduled_Monthly_Payment,"")</f>
        <v>71560.087675010276</v>
      </c>
      <c r="E109" s="71">
        <f>IF(AND(Pay_Num&lt;&gt;"",Sched_Pay+Scheduled_Extra_Payments&lt;Beg_Bal),Scheduled_Extra_Payments,IF(AND(Pay_Num&lt;&gt;"",Beg_Bal-Sched_Pay&gt;0),Beg_Bal-Sched_Pay,IF(Pay_Num&lt;&gt;"",0,"")))</f>
        <v>0</v>
      </c>
      <c r="F109" s="70">
        <f>IF(AND(Pay_Num&lt;&gt;"",Sched_Pay+Extra_Pay&lt;Beg_Bal),Sched_Pay+Extra_Pay,IF(Pay_Num&lt;&gt;"",Beg_Bal,""))</f>
        <v>0</v>
      </c>
      <c r="G109" s="70">
        <f>IF(Pay_Num&lt;&gt;"",Total_Pay-Int,"")</f>
        <v>0</v>
      </c>
      <c r="H109" s="70">
        <f>IF(Pay_Num&lt;&gt;"",Beg_Bal*Interest_Rate/Num_Pmt_Per_Year,"")</f>
        <v>0</v>
      </c>
      <c r="I109" s="70">
        <f>IF(AND(Pay_Num&lt;&gt;"",Sched_Pay+Extra_Pay&lt;Beg_Bal),Beg_Bal-Princ,IF(Pay_Num&lt;&gt;"",0,""))</f>
        <v>0</v>
      </c>
      <c r="J109" s="70">
        <f>SUM($H$18:$H109)</f>
        <v>431201.75350020552</v>
      </c>
    </row>
    <row r="110" spans="1:10" x14ac:dyDescent="0.3">
      <c r="A110" s="36">
        <f>IF(Values_Entered,A109+1,"")</f>
        <v>93</v>
      </c>
      <c r="B110" s="35">
        <f>IF(Pay_Num&lt;&gt;"",DATE(YEAR(Loan_Start),MONTH(Loan_Start)+(Pay_Num)*12/Num_Pmt_Per_Year,DAY(Loan_Start)),"")</f>
        <v>54678</v>
      </c>
      <c r="C110" s="70">
        <f>IF(Pay_Num&lt;&gt;"",I109,"")</f>
        <v>0</v>
      </c>
      <c r="D110" s="70">
        <f>IF(Pay_Num&lt;&gt;"",Scheduled_Monthly_Payment,"")</f>
        <v>71560.087675010276</v>
      </c>
      <c r="E110" s="71">
        <f>IF(AND(Pay_Num&lt;&gt;"",Sched_Pay+Scheduled_Extra_Payments&lt;Beg_Bal),Scheduled_Extra_Payments,IF(AND(Pay_Num&lt;&gt;"",Beg_Bal-Sched_Pay&gt;0),Beg_Bal-Sched_Pay,IF(Pay_Num&lt;&gt;"",0,"")))</f>
        <v>0</v>
      </c>
      <c r="F110" s="70">
        <f>IF(AND(Pay_Num&lt;&gt;"",Sched_Pay+Extra_Pay&lt;Beg_Bal),Sched_Pay+Extra_Pay,IF(Pay_Num&lt;&gt;"",Beg_Bal,""))</f>
        <v>0</v>
      </c>
      <c r="G110" s="70">
        <f>IF(Pay_Num&lt;&gt;"",Total_Pay-Int,"")</f>
        <v>0</v>
      </c>
      <c r="H110" s="70">
        <f>IF(Pay_Num&lt;&gt;"",Beg_Bal*Interest_Rate/Num_Pmt_Per_Year,"")</f>
        <v>0</v>
      </c>
      <c r="I110" s="70">
        <f>IF(AND(Pay_Num&lt;&gt;"",Sched_Pay+Extra_Pay&lt;Beg_Bal),Beg_Bal-Princ,IF(Pay_Num&lt;&gt;"",0,""))</f>
        <v>0</v>
      </c>
      <c r="J110" s="70">
        <f>SUM($H$18:$H110)</f>
        <v>431201.75350020552</v>
      </c>
    </row>
    <row r="111" spans="1:10" x14ac:dyDescent="0.3">
      <c r="A111" s="36">
        <f>IF(Values_Entered,A110+1,"")</f>
        <v>94</v>
      </c>
      <c r="B111" s="35">
        <f>IF(Pay_Num&lt;&gt;"",DATE(YEAR(Loan_Start),MONTH(Loan_Start)+(Pay_Num)*12/Num_Pmt_Per_Year,DAY(Loan_Start)),"")</f>
        <v>54769</v>
      </c>
      <c r="C111" s="70">
        <f>IF(Pay_Num&lt;&gt;"",I110,"")</f>
        <v>0</v>
      </c>
      <c r="D111" s="70">
        <f>IF(Pay_Num&lt;&gt;"",Scheduled_Monthly_Payment,"")</f>
        <v>71560.087675010276</v>
      </c>
      <c r="E111" s="71">
        <f>IF(AND(Pay_Num&lt;&gt;"",Sched_Pay+Scheduled_Extra_Payments&lt;Beg_Bal),Scheduled_Extra_Payments,IF(AND(Pay_Num&lt;&gt;"",Beg_Bal-Sched_Pay&gt;0),Beg_Bal-Sched_Pay,IF(Pay_Num&lt;&gt;"",0,"")))</f>
        <v>0</v>
      </c>
      <c r="F111" s="70">
        <f>IF(AND(Pay_Num&lt;&gt;"",Sched_Pay+Extra_Pay&lt;Beg_Bal),Sched_Pay+Extra_Pay,IF(Pay_Num&lt;&gt;"",Beg_Bal,""))</f>
        <v>0</v>
      </c>
      <c r="G111" s="70">
        <f>IF(Pay_Num&lt;&gt;"",Total_Pay-Int,"")</f>
        <v>0</v>
      </c>
      <c r="H111" s="70">
        <f>IF(Pay_Num&lt;&gt;"",Beg_Bal*Interest_Rate/Num_Pmt_Per_Year,"")</f>
        <v>0</v>
      </c>
      <c r="I111" s="70">
        <f>IF(AND(Pay_Num&lt;&gt;"",Sched_Pay+Extra_Pay&lt;Beg_Bal),Beg_Bal-Princ,IF(Pay_Num&lt;&gt;"",0,""))</f>
        <v>0</v>
      </c>
      <c r="J111" s="70">
        <f>SUM($H$18:$H111)</f>
        <v>431201.75350020552</v>
      </c>
    </row>
    <row r="112" spans="1:10" x14ac:dyDescent="0.3">
      <c r="A112" s="36">
        <f>IF(Values_Entered,A111+1,"")</f>
        <v>95</v>
      </c>
      <c r="B112" s="35">
        <f>IF(Pay_Num&lt;&gt;"",DATE(YEAR(Loan_Start),MONTH(Loan_Start)+(Pay_Num)*12/Num_Pmt_Per_Year,DAY(Loan_Start)),"")</f>
        <v>54859</v>
      </c>
      <c r="C112" s="70">
        <f>IF(Pay_Num&lt;&gt;"",I111,"")</f>
        <v>0</v>
      </c>
      <c r="D112" s="70">
        <f>IF(Pay_Num&lt;&gt;"",Scheduled_Monthly_Payment,"")</f>
        <v>71560.087675010276</v>
      </c>
      <c r="E112" s="71">
        <f>IF(AND(Pay_Num&lt;&gt;"",Sched_Pay+Scheduled_Extra_Payments&lt;Beg_Bal),Scheduled_Extra_Payments,IF(AND(Pay_Num&lt;&gt;"",Beg_Bal-Sched_Pay&gt;0),Beg_Bal-Sched_Pay,IF(Pay_Num&lt;&gt;"",0,"")))</f>
        <v>0</v>
      </c>
      <c r="F112" s="70">
        <f>IF(AND(Pay_Num&lt;&gt;"",Sched_Pay+Extra_Pay&lt;Beg_Bal),Sched_Pay+Extra_Pay,IF(Pay_Num&lt;&gt;"",Beg_Bal,""))</f>
        <v>0</v>
      </c>
      <c r="G112" s="70">
        <f>IF(Pay_Num&lt;&gt;"",Total_Pay-Int,"")</f>
        <v>0</v>
      </c>
      <c r="H112" s="70">
        <f>IF(Pay_Num&lt;&gt;"",Beg_Bal*Interest_Rate/Num_Pmt_Per_Year,"")</f>
        <v>0</v>
      </c>
      <c r="I112" s="70">
        <f>IF(AND(Pay_Num&lt;&gt;"",Sched_Pay+Extra_Pay&lt;Beg_Bal),Beg_Bal-Princ,IF(Pay_Num&lt;&gt;"",0,""))</f>
        <v>0</v>
      </c>
      <c r="J112" s="70">
        <f>SUM($H$18:$H112)</f>
        <v>431201.75350020552</v>
      </c>
    </row>
    <row r="113" spans="1:10" x14ac:dyDescent="0.3">
      <c r="A113" s="36">
        <f>IF(Values_Entered,A112+1,"")</f>
        <v>96</v>
      </c>
      <c r="B113" s="35">
        <f>IF(Pay_Num&lt;&gt;"",DATE(YEAR(Loan_Start),MONTH(Loan_Start)+(Pay_Num)*12/Num_Pmt_Per_Year,DAY(Loan_Start)),"")</f>
        <v>54951</v>
      </c>
      <c r="C113" s="70">
        <f>IF(Pay_Num&lt;&gt;"",I112,"")</f>
        <v>0</v>
      </c>
      <c r="D113" s="70">
        <f>IF(Pay_Num&lt;&gt;"",Scheduled_Monthly_Payment,"")</f>
        <v>71560.087675010276</v>
      </c>
      <c r="E113" s="71">
        <f>IF(AND(Pay_Num&lt;&gt;"",Sched_Pay+Scheduled_Extra_Payments&lt;Beg_Bal),Scheduled_Extra_Payments,IF(AND(Pay_Num&lt;&gt;"",Beg_Bal-Sched_Pay&gt;0),Beg_Bal-Sched_Pay,IF(Pay_Num&lt;&gt;"",0,"")))</f>
        <v>0</v>
      </c>
      <c r="F113" s="70">
        <f>IF(AND(Pay_Num&lt;&gt;"",Sched_Pay+Extra_Pay&lt;Beg_Bal),Sched_Pay+Extra_Pay,IF(Pay_Num&lt;&gt;"",Beg_Bal,""))</f>
        <v>0</v>
      </c>
      <c r="G113" s="70">
        <f>IF(Pay_Num&lt;&gt;"",Total_Pay-Int,"")</f>
        <v>0</v>
      </c>
      <c r="H113" s="70">
        <f>IF(Pay_Num&lt;&gt;"",Beg_Bal*Interest_Rate/Num_Pmt_Per_Year,"")</f>
        <v>0</v>
      </c>
      <c r="I113" s="70">
        <f>IF(AND(Pay_Num&lt;&gt;"",Sched_Pay+Extra_Pay&lt;Beg_Bal),Beg_Bal-Princ,IF(Pay_Num&lt;&gt;"",0,""))</f>
        <v>0</v>
      </c>
      <c r="J113" s="70">
        <f>SUM($H$18:$H113)</f>
        <v>431201.75350020552</v>
      </c>
    </row>
    <row r="114" spans="1:10" x14ac:dyDescent="0.3">
      <c r="A114" s="36">
        <f>IF(Values_Entered,A113+1,"")</f>
        <v>97</v>
      </c>
      <c r="B114" s="35">
        <f>IF(Pay_Num&lt;&gt;"",DATE(YEAR(Loan_Start),MONTH(Loan_Start)+(Pay_Num)*12/Num_Pmt_Per_Year,DAY(Loan_Start)),"")</f>
        <v>55043</v>
      </c>
      <c r="C114" s="70">
        <f>IF(Pay_Num&lt;&gt;"",I113,"")</f>
        <v>0</v>
      </c>
      <c r="D114" s="70">
        <f>IF(Pay_Num&lt;&gt;"",Scheduled_Monthly_Payment,"")</f>
        <v>71560.087675010276</v>
      </c>
      <c r="E114" s="71">
        <f>IF(AND(Pay_Num&lt;&gt;"",Sched_Pay+Scheduled_Extra_Payments&lt;Beg_Bal),Scheduled_Extra_Payments,IF(AND(Pay_Num&lt;&gt;"",Beg_Bal-Sched_Pay&gt;0),Beg_Bal-Sched_Pay,IF(Pay_Num&lt;&gt;"",0,"")))</f>
        <v>0</v>
      </c>
      <c r="F114" s="70">
        <f>IF(AND(Pay_Num&lt;&gt;"",Sched_Pay+Extra_Pay&lt;Beg_Bal),Sched_Pay+Extra_Pay,IF(Pay_Num&lt;&gt;"",Beg_Bal,""))</f>
        <v>0</v>
      </c>
      <c r="G114" s="70">
        <f>IF(Pay_Num&lt;&gt;"",Total_Pay-Int,"")</f>
        <v>0</v>
      </c>
      <c r="H114" s="70">
        <f>IF(Pay_Num&lt;&gt;"",Beg_Bal*Interest_Rate/Num_Pmt_Per_Year,"")</f>
        <v>0</v>
      </c>
      <c r="I114" s="70">
        <f>IF(AND(Pay_Num&lt;&gt;"",Sched_Pay+Extra_Pay&lt;Beg_Bal),Beg_Bal-Princ,IF(Pay_Num&lt;&gt;"",0,""))</f>
        <v>0</v>
      </c>
      <c r="J114" s="70">
        <f>SUM($H$18:$H114)</f>
        <v>431201.75350020552</v>
      </c>
    </row>
    <row r="115" spans="1:10" x14ac:dyDescent="0.3">
      <c r="A115" s="36">
        <f>IF(Values_Entered,A114+1,"")</f>
        <v>98</v>
      </c>
      <c r="B115" s="35">
        <f>IF(Pay_Num&lt;&gt;"",DATE(YEAR(Loan_Start),MONTH(Loan_Start)+(Pay_Num)*12/Num_Pmt_Per_Year,DAY(Loan_Start)),"")</f>
        <v>55134</v>
      </c>
      <c r="C115" s="70">
        <f>IF(Pay_Num&lt;&gt;"",I114,"")</f>
        <v>0</v>
      </c>
      <c r="D115" s="70">
        <f>IF(Pay_Num&lt;&gt;"",Scheduled_Monthly_Payment,"")</f>
        <v>71560.087675010276</v>
      </c>
      <c r="E115" s="71">
        <f>IF(AND(Pay_Num&lt;&gt;"",Sched_Pay+Scheduled_Extra_Payments&lt;Beg_Bal),Scheduled_Extra_Payments,IF(AND(Pay_Num&lt;&gt;"",Beg_Bal-Sched_Pay&gt;0),Beg_Bal-Sched_Pay,IF(Pay_Num&lt;&gt;"",0,"")))</f>
        <v>0</v>
      </c>
      <c r="F115" s="70">
        <f>IF(AND(Pay_Num&lt;&gt;"",Sched_Pay+Extra_Pay&lt;Beg_Bal),Sched_Pay+Extra_Pay,IF(Pay_Num&lt;&gt;"",Beg_Bal,""))</f>
        <v>0</v>
      </c>
      <c r="G115" s="70">
        <f>IF(Pay_Num&lt;&gt;"",Total_Pay-Int,"")</f>
        <v>0</v>
      </c>
      <c r="H115" s="70">
        <f>IF(Pay_Num&lt;&gt;"",Beg_Bal*Interest_Rate/Num_Pmt_Per_Year,"")</f>
        <v>0</v>
      </c>
      <c r="I115" s="70">
        <f>IF(AND(Pay_Num&lt;&gt;"",Sched_Pay+Extra_Pay&lt;Beg_Bal),Beg_Bal-Princ,IF(Pay_Num&lt;&gt;"",0,""))</f>
        <v>0</v>
      </c>
      <c r="J115" s="70">
        <f>SUM($H$18:$H115)</f>
        <v>431201.75350020552</v>
      </c>
    </row>
    <row r="116" spans="1:10" x14ac:dyDescent="0.3">
      <c r="A116" s="36">
        <f>IF(Values_Entered,A115+1,"")</f>
        <v>99</v>
      </c>
      <c r="B116" s="35">
        <f>IF(Pay_Num&lt;&gt;"",DATE(YEAR(Loan_Start),MONTH(Loan_Start)+(Pay_Num)*12/Num_Pmt_Per_Year,DAY(Loan_Start)),"")</f>
        <v>55224</v>
      </c>
      <c r="C116" s="70">
        <f>IF(Pay_Num&lt;&gt;"",I115,"")</f>
        <v>0</v>
      </c>
      <c r="D116" s="70">
        <f>IF(Pay_Num&lt;&gt;"",Scheduled_Monthly_Payment,"")</f>
        <v>71560.087675010276</v>
      </c>
      <c r="E116" s="71">
        <f>IF(AND(Pay_Num&lt;&gt;"",Sched_Pay+Scheduled_Extra_Payments&lt;Beg_Bal),Scheduled_Extra_Payments,IF(AND(Pay_Num&lt;&gt;"",Beg_Bal-Sched_Pay&gt;0),Beg_Bal-Sched_Pay,IF(Pay_Num&lt;&gt;"",0,"")))</f>
        <v>0</v>
      </c>
      <c r="F116" s="70">
        <f>IF(AND(Pay_Num&lt;&gt;"",Sched_Pay+Extra_Pay&lt;Beg_Bal),Sched_Pay+Extra_Pay,IF(Pay_Num&lt;&gt;"",Beg_Bal,""))</f>
        <v>0</v>
      </c>
      <c r="G116" s="70">
        <f>IF(Pay_Num&lt;&gt;"",Total_Pay-Int,"")</f>
        <v>0</v>
      </c>
      <c r="H116" s="70">
        <f>IF(Pay_Num&lt;&gt;"",Beg_Bal*Interest_Rate/Num_Pmt_Per_Year,"")</f>
        <v>0</v>
      </c>
      <c r="I116" s="70">
        <f>IF(AND(Pay_Num&lt;&gt;"",Sched_Pay+Extra_Pay&lt;Beg_Bal),Beg_Bal-Princ,IF(Pay_Num&lt;&gt;"",0,""))</f>
        <v>0</v>
      </c>
      <c r="J116" s="70">
        <f>SUM($H$18:$H116)</f>
        <v>431201.75350020552</v>
      </c>
    </row>
    <row r="117" spans="1:10" x14ac:dyDescent="0.3">
      <c r="A117" s="36">
        <f>IF(Values_Entered,A116+1,"")</f>
        <v>100</v>
      </c>
      <c r="B117" s="35">
        <f>IF(Pay_Num&lt;&gt;"",DATE(YEAR(Loan_Start),MONTH(Loan_Start)+(Pay_Num)*12/Num_Pmt_Per_Year,DAY(Loan_Start)),"")</f>
        <v>55316</v>
      </c>
      <c r="C117" s="70">
        <f>IF(Pay_Num&lt;&gt;"",I116,"")</f>
        <v>0</v>
      </c>
      <c r="D117" s="70">
        <f>IF(Pay_Num&lt;&gt;"",Scheduled_Monthly_Payment,"")</f>
        <v>71560.087675010276</v>
      </c>
      <c r="E117" s="71">
        <f>IF(AND(Pay_Num&lt;&gt;"",Sched_Pay+Scheduled_Extra_Payments&lt;Beg_Bal),Scheduled_Extra_Payments,IF(AND(Pay_Num&lt;&gt;"",Beg_Bal-Sched_Pay&gt;0),Beg_Bal-Sched_Pay,IF(Pay_Num&lt;&gt;"",0,"")))</f>
        <v>0</v>
      </c>
      <c r="F117" s="70">
        <f>IF(AND(Pay_Num&lt;&gt;"",Sched_Pay+Extra_Pay&lt;Beg_Bal),Sched_Pay+Extra_Pay,IF(Pay_Num&lt;&gt;"",Beg_Bal,""))</f>
        <v>0</v>
      </c>
      <c r="G117" s="70">
        <f>IF(Pay_Num&lt;&gt;"",Total_Pay-Int,"")</f>
        <v>0</v>
      </c>
      <c r="H117" s="70">
        <f>IF(Pay_Num&lt;&gt;"",Beg_Bal*Interest_Rate/Num_Pmt_Per_Year,"")</f>
        <v>0</v>
      </c>
      <c r="I117" s="70">
        <f>IF(AND(Pay_Num&lt;&gt;"",Sched_Pay+Extra_Pay&lt;Beg_Bal),Beg_Bal-Princ,IF(Pay_Num&lt;&gt;"",0,""))</f>
        <v>0</v>
      </c>
      <c r="J117" s="70">
        <f>SUM($H$18:$H117)</f>
        <v>431201.75350020552</v>
      </c>
    </row>
    <row r="118" spans="1:10" x14ac:dyDescent="0.3">
      <c r="A118" s="36">
        <f>IF(Values_Entered,A117+1,"")</f>
        <v>101</v>
      </c>
      <c r="B118" s="35">
        <f>IF(Pay_Num&lt;&gt;"",DATE(YEAR(Loan_Start),MONTH(Loan_Start)+(Pay_Num)*12/Num_Pmt_Per_Year,DAY(Loan_Start)),"")</f>
        <v>55408</v>
      </c>
      <c r="C118" s="70">
        <f>IF(Pay_Num&lt;&gt;"",I117,"")</f>
        <v>0</v>
      </c>
      <c r="D118" s="70">
        <f>IF(Pay_Num&lt;&gt;"",Scheduled_Monthly_Payment,"")</f>
        <v>71560.087675010276</v>
      </c>
      <c r="E118" s="71">
        <f>IF(AND(Pay_Num&lt;&gt;"",Sched_Pay+Scheduled_Extra_Payments&lt;Beg_Bal),Scheduled_Extra_Payments,IF(AND(Pay_Num&lt;&gt;"",Beg_Bal-Sched_Pay&gt;0),Beg_Bal-Sched_Pay,IF(Pay_Num&lt;&gt;"",0,"")))</f>
        <v>0</v>
      </c>
      <c r="F118" s="70">
        <f>IF(AND(Pay_Num&lt;&gt;"",Sched_Pay+Extra_Pay&lt;Beg_Bal),Sched_Pay+Extra_Pay,IF(Pay_Num&lt;&gt;"",Beg_Bal,""))</f>
        <v>0</v>
      </c>
      <c r="G118" s="70">
        <f>IF(Pay_Num&lt;&gt;"",Total_Pay-Int,"")</f>
        <v>0</v>
      </c>
      <c r="H118" s="70">
        <f>IF(Pay_Num&lt;&gt;"",Beg_Bal*Interest_Rate/Num_Pmt_Per_Year,"")</f>
        <v>0</v>
      </c>
      <c r="I118" s="70">
        <f>IF(AND(Pay_Num&lt;&gt;"",Sched_Pay+Extra_Pay&lt;Beg_Bal),Beg_Bal-Princ,IF(Pay_Num&lt;&gt;"",0,""))</f>
        <v>0</v>
      </c>
      <c r="J118" s="70">
        <f>SUM($H$18:$H118)</f>
        <v>431201.75350020552</v>
      </c>
    </row>
    <row r="119" spans="1:10" x14ac:dyDescent="0.3">
      <c r="A119" s="36">
        <f>IF(Values_Entered,A118+1,"")</f>
        <v>102</v>
      </c>
      <c r="B119" s="35">
        <f>IF(Pay_Num&lt;&gt;"",DATE(YEAR(Loan_Start),MONTH(Loan_Start)+(Pay_Num)*12/Num_Pmt_Per_Year,DAY(Loan_Start)),"")</f>
        <v>55499</v>
      </c>
      <c r="C119" s="70">
        <f>IF(Pay_Num&lt;&gt;"",I118,"")</f>
        <v>0</v>
      </c>
      <c r="D119" s="70">
        <f>IF(Pay_Num&lt;&gt;"",Scheduled_Monthly_Payment,"")</f>
        <v>71560.087675010276</v>
      </c>
      <c r="E119" s="71">
        <f>IF(AND(Pay_Num&lt;&gt;"",Sched_Pay+Scheduled_Extra_Payments&lt;Beg_Bal),Scheduled_Extra_Payments,IF(AND(Pay_Num&lt;&gt;"",Beg_Bal-Sched_Pay&gt;0),Beg_Bal-Sched_Pay,IF(Pay_Num&lt;&gt;"",0,"")))</f>
        <v>0</v>
      </c>
      <c r="F119" s="70">
        <f>IF(AND(Pay_Num&lt;&gt;"",Sched_Pay+Extra_Pay&lt;Beg_Bal),Sched_Pay+Extra_Pay,IF(Pay_Num&lt;&gt;"",Beg_Bal,""))</f>
        <v>0</v>
      </c>
      <c r="G119" s="70">
        <f>IF(Pay_Num&lt;&gt;"",Total_Pay-Int,"")</f>
        <v>0</v>
      </c>
      <c r="H119" s="70">
        <f>IF(Pay_Num&lt;&gt;"",Beg_Bal*Interest_Rate/Num_Pmt_Per_Year,"")</f>
        <v>0</v>
      </c>
      <c r="I119" s="70">
        <f>IF(AND(Pay_Num&lt;&gt;"",Sched_Pay+Extra_Pay&lt;Beg_Bal),Beg_Bal-Princ,IF(Pay_Num&lt;&gt;"",0,""))</f>
        <v>0</v>
      </c>
      <c r="J119" s="70">
        <f>SUM($H$18:$H119)</f>
        <v>431201.75350020552</v>
      </c>
    </row>
    <row r="120" spans="1:10" x14ac:dyDescent="0.3">
      <c r="A120" s="36">
        <f>IF(Values_Entered,A119+1,"")</f>
        <v>103</v>
      </c>
      <c r="B120" s="35">
        <f>IF(Pay_Num&lt;&gt;"",DATE(YEAR(Loan_Start),MONTH(Loan_Start)+(Pay_Num)*12/Num_Pmt_Per_Year,DAY(Loan_Start)),"")</f>
        <v>55590</v>
      </c>
      <c r="C120" s="70">
        <f>IF(Pay_Num&lt;&gt;"",I119,"")</f>
        <v>0</v>
      </c>
      <c r="D120" s="70">
        <f>IF(Pay_Num&lt;&gt;"",Scheduled_Monthly_Payment,"")</f>
        <v>71560.087675010276</v>
      </c>
      <c r="E120" s="71">
        <f>IF(AND(Pay_Num&lt;&gt;"",Sched_Pay+Scheduled_Extra_Payments&lt;Beg_Bal),Scheduled_Extra_Payments,IF(AND(Pay_Num&lt;&gt;"",Beg_Bal-Sched_Pay&gt;0),Beg_Bal-Sched_Pay,IF(Pay_Num&lt;&gt;"",0,"")))</f>
        <v>0</v>
      </c>
      <c r="F120" s="70">
        <f>IF(AND(Pay_Num&lt;&gt;"",Sched_Pay+Extra_Pay&lt;Beg_Bal),Sched_Pay+Extra_Pay,IF(Pay_Num&lt;&gt;"",Beg_Bal,""))</f>
        <v>0</v>
      </c>
      <c r="G120" s="70">
        <f>IF(Pay_Num&lt;&gt;"",Total_Pay-Int,"")</f>
        <v>0</v>
      </c>
      <c r="H120" s="70">
        <f>IF(Pay_Num&lt;&gt;"",Beg_Bal*Interest_Rate/Num_Pmt_Per_Year,"")</f>
        <v>0</v>
      </c>
      <c r="I120" s="70">
        <f>IF(AND(Pay_Num&lt;&gt;"",Sched_Pay+Extra_Pay&lt;Beg_Bal),Beg_Bal-Princ,IF(Pay_Num&lt;&gt;"",0,""))</f>
        <v>0</v>
      </c>
      <c r="J120" s="70">
        <f>SUM($H$18:$H120)</f>
        <v>431201.75350020552</v>
      </c>
    </row>
    <row r="121" spans="1:10" x14ac:dyDescent="0.3">
      <c r="A121" s="36">
        <f>IF(Values_Entered,A120+1,"")</f>
        <v>104</v>
      </c>
      <c r="B121" s="35">
        <f>IF(Pay_Num&lt;&gt;"",DATE(YEAR(Loan_Start),MONTH(Loan_Start)+(Pay_Num)*12/Num_Pmt_Per_Year,DAY(Loan_Start)),"")</f>
        <v>55682</v>
      </c>
      <c r="C121" s="70">
        <f>IF(Pay_Num&lt;&gt;"",I120,"")</f>
        <v>0</v>
      </c>
      <c r="D121" s="70">
        <f>IF(Pay_Num&lt;&gt;"",Scheduled_Monthly_Payment,"")</f>
        <v>71560.087675010276</v>
      </c>
      <c r="E121" s="71">
        <f>IF(AND(Pay_Num&lt;&gt;"",Sched_Pay+Scheduled_Extra_Payments&lt;Beg_Bal),Scheduled_Extra_Payments,IF(AND(Pay_Num&lt;&gt;"",Beg_Bal-Sched_Pay&gt;0),Beg_Bal-Sched_Pay,IF(Pay_Num&lt;&gt;"",0,"")))</f>
        <v>0</v>
      </c>
      <c r="F121" s="70">
        <f>IF(AND(Pay_Num&lt;&gt;"",Sched_Pay+Extra_Pay&lt;Beg_Bal),Sched_Pay+Extra_Pay,IF(Pay_Num&lt;&gt;"",Beg_Bal,""))</f>
        <v>0</v>
      </c>
      <c r="G121" s="70">
        <f>IF(Pay_Num&lt;&gt;"",Total_Pay-Int,"")</f>
        <v>0</v>
      </c>
      <c r="H121" s="70">
        <f>IF(Pay_Num&lt;&gt;"",Beg_Bal*Interest_Rate/Num_Pmt_Per_Year,"")</f>
        <v>0</v>
      </c>
      <c r="I121" s="70">
        <f>IF(AND(Pay_Num&lt;&gt;"",Sched_Pay+Extra_Pay&lt;Beg_Bal),Beg_Bal-Princ,IF(Pay_Num&lt;&gt;"",0,""))</f>
        <v>0</v>
      </c>
      <c r="J121" s="70">
        <f>SUM($H$18:$H121)</f>
        <v>431201.75350020552</v>
      </c>
    </row>
    <row r="122" spans="1:10" x14ac:dyDescent="0.3">
      <c r="A122" s="36">
        <f>IF(Values_Entered,A121+1,"")</f>
        <v>105</v>
      </c>
      <c r="B122" s="35">
        <f>IF(Pay_Num&lt;&gt;"",DATE(YEAR(Loan_Start),MONTH(Loan_Start)+(Pay_Num)*12/Num_Pmt_Per_Year,DAY(Loan_Start)),"")</f>
        <v>55774</v>
      </c>
      <c r="C122" s="70">
        <f>IF(Pay_Num&lt;&gt;"",I121,"")</f>
        <v>0</v>
      </c>
      <c r="D122" s="70">
        <f>IF(Pay_Num&lt;&gt;"",Scheduled_Monthly_Payment,"")</f>
        <v>71560.087675010276</v>
      </c>
      <c r="E122" s="71">
        <f>IF(AND(Pay_Num&lt;&gt;"",Sched_Pay+Scheduled_Extra_Payments&lt;Beg_Bal),Scheduled_Extra_Payments,IF(AND(Pay_Num&lt;&gt;"",Beg_Bal-Sched_Pay&gt;0),Beg_Bal-Sched_Pay,IF(Pay_Num&lt;&gt;"",0,"")))</f>
        <v>0</v>
      </c>
      <c r="F122" s="70">
        <f>IF(AND(Pay_Num&lt;&gt;"",Sched_Pay+Extra_Pay&lt;Beg_Bal),Sched_Pay+Extra_Pay,IF(Pay_Num&lt;&gt;"",Beg_Bal,""))</f>
        <v>0</v>
      </c>
      <c r="G122" s="70">
        <f>IF(Pay_Num&lt;&gt;"",Total_Pay-Int,"")</f>
        <v>0</v>
      </c>
      <c r="H122" s="70">
        <f>IF(Pay_Num&lt;&gt;"",Beg_Bal*Interest_Rate/Num_Pmt_Per_Year,"")</f>
        <v>0</v>
      </c>
      <c r="I122" s="70">
        <f>IF(AND(Pay_Num&lt;&gt;"",Sched_Pay+Extra_Pay&lt;Beg_Bal),Beg_Bal-Princ,IF(Pay_Num&lt;&gt;"",0,""))</f>
        <v>0</v>
      </c>
      <c r="J122" s="70">
        <f>SUM($H$18:$H122)</f>
        <v>431201.75350020552</v>
      </c>
    </row>
    <row r="123" spans="1:10" x14ac:dyDescent="0.3">
      <c r="A123" s="36">
        <f>IF(Values_Entered,A122+1,"")</f>
        <v>106</v>
      </c>
      <c r="B123" s="35">
        <f>IF(Pay_Num&lt;&gt;"",DATE(YEAR(Loan_Start),MONTH(Loan_Start)+(Pay_Num)*12/Num_Pmt_Per_Year,DAY(Loan_Start)),"")</f>
        <v>55865</v>
      </c>
      <c r="C123" s="70">
        <f>IF(Pay_Num&lt;&gt;"",I122,"")</f>
        <v>0</v>
      </c>
      <c r="D123" s="70">
        <f>IF(Pay_Num&lt;&gt;"",Scheduled_Monthly_Payment,"")</f>
        <v>71560.087675010276</v>
      </c>
      <c r="E123" s="71">
        <f>IF(AND(Pay_Num&lt;&gt;"",Sched_Pay+Scheduled_Extra_Payments&lt;Beg_Bal),Scheduled_Extra_Payments,IF(AND(Pay_Num&lt;&gt;"",Beg_Bal-Sched_Pay&gt;0),Beg_Bal-Sched_Pay,IF(Pay_Num&lt;&gt;"",0,"")))</f>
        <v>0</v>
      </c>
      <c r="F123" s="70">
        <f>IF(AND(Pay_Num&lt;&gt;"",Sched_Pay+Extra_Pay&lt;Beg_Bal),Sched_Pay+Extra_Pay,IF(Pay_Num&lt;&gt;"",Beg_Bal,""))</f>
        <v>0</v>
      </c>
      <c r="G123" s="70">
        <f>IF(Pay_Num&lt;&gt;"",Total_Pay-Int,"")</f>
        <v>0</v>
      </c>
      <c r="H123" s="70">
        <f>IF(Pay_Num&lt;&gt;"",Beg_Bal*Interest_Rate/Num_Pmt_Per_Year,"")</f>
        <v>0</v>
      </c>
      <c r="I123" s="70">
        <f>IF(AND(Pay_Num&lt;&gt;"",Sched_Pay+Extra_Pay&lt;Beg_Bal),Beg_Bal-Princ,IF(Pay_Num&lt;&gt;"",0,""))</f>
        <v>0</v>
      </c>
      <c r="J123" s="70">
        <f>SUM($H$18:$H123)</f>
        <v>431201.75350020552</v>
      </c>
    </row>
    <row r="124" spans="1:10" x14ac:dyDescent="0.3">
      <c r="A124" s="36">
        <f>IF(Values_Entered,A123+1,"")</f>
        <v>107</v>
      </c>
      <c r="B124" s="35">
        <f>IF(Pay_Num&lt;&gt;"",DATE(YEAR(Loan_Start),MONTH(Loan_Start)+(Pay_Num)*12/Num_Pmt_Per_Year,DAY(Loan_Start)),"")</f>
        <v>55955</v>
      </c>
      <c r="C124" s="70">
        <f>IF(Pay_Num&lt;&gt;"",I123,"")</f>
        <v>0</v>
      </c>
      <c r="D124" s="70">
        <f>IF(Pay_Num&lt;&gt;"",Scheduled_Monthly_Payment,"")</f>
        <v>71560.087675010276</v>
      </c>
      <c r="E124" s="71">
        <f>IF(AND(Pay_Num&lt;&gt;"",Sched_Pay+Scheduled_Extra_Payments&lt;Beg_Bal),Scheduled_Extra_Payments,IF(AND(Pay_Num&lt;&gt;"",Beg_Bal-Sched_Pay&gt;0),Beg_Bal-Sched_Pay,IF(Pay_Num&lt;&gt;"",0,"")))</f>
        <v>0</v>
      </c>
      <c r="F124" s="70">
        <f>IF(AND(Pay_Num&lt;&gt;"",Sched_Pay+Extra_Pay&lt;Beg_Bal),Sched_Pay+Extra_Pay,IF(Pay_Num&lt;&gt;"",Beg_Bal,""))</f>
        <v>0</v>
      </c>
      <c r="G124" s="70">
        <f>IF(Pay_Num&lt;&gt;"",Total_Pay-Int,"")</f>
        <v>0</v>
      </c>
      <c r="H124" s="70">
        <f>IF(Pay_Num&lt;&gt;"",Beg_Bal*Interest_Rate/Num_Pmt_Per_Year,"")</f>
        <v>0</v>
      </c>
      <c r="I124" s="70">
        <f>IF(AND(Pay_Num&lt;&gt;"",Sched_Pay+Extra_Pay&lt;Beg_Bal),Beg_Bal-Princ,IF(Pay_Num&lt;&gt;"",0,""))</f>
        <v>0</v>
      </c>
      <c r="J124" s="70">
        <f>SUM($H$18:$H124)</f>
        <v>431201.75350020552</v>
      </c>
    </row>
    <row r="125" spans="1:10" x14ac:dyDescent="0.3">
      <c r="A125" s="36">
        <f>IF(Values_Entered,A124+1,"")</f>
        <v>108</v>
      </c>
      <c r="B125" s="35">
        <f>IF(Pay_Num&lt;&gt;"",DATE(YEAR(Loan_Start),MONTH(Loan_Start)+(Pay_Num)*12/Num_Pmt_Per_Year,DAY(Loan_Start)),"")</f>
        <v>56047</v>
      </c>
      <c r="C125" s="70">
        <f>IF(Pay_Num&lt;&gt;"",I124,"")</f>
        <v>0</v>
      </c>
      <c r="D125" s="70">
        <f>IF(Pay_Num&lt;&gt;"",Scheduled_Monthly_Payment,"")</f>
        <v>71560.087675010276</v>
      </c>
      <c r="E125" s="71">
        <f>IF(AND(Pay_Num&lt;&gt;"",Sched_Pay+Scheduled_Extra_Payments&lt;Beg_Bal),Scheduled_Extra_Payments,IF(AND(Pay_Num&lt;&gt;"",Beg_Bal-Sched_Pay&gt;0),Beg_Bal-Sched_Pay,IF(Pay_Num&lt;&gt;"",0,"")))</f>
        <v>0</v>
      </c>
      <c r="F125" s="70">
        <f>IF(AND(Pay_Num&lt;&gt;"",Sched_Pay+Extra_Pay&lt;Beg_Bal),Sched_Pay+Extra_Pay,IF(Pay_Num&lt;&gt;"",Beg_Bal,""))</f>
        <v>0</v>
      </c>
      <c r="G125" s="70">
        <f>IF(Pay_Num&lt;&gt;"",Total_Pay-Int,"")</f>
        <v>0</v>
      </c>
      <c r="H125" s="70">
        <f>IF(Pay_Num&lt;&gt;"",Beg_Bal*Interest_Rate/Num_Pmt_Per_Year,"")</f>
        <v>0</v>
      </c>
      <c r="I125" s="70">
        <f>IF(AND(Pay_Num&lt;&gt;"",Sched_Pay+Extra_Pay&lt;Beg_Bal),Beg_Bal-Princ,IF(Pay_Num&lt;&gt;"",0,""))</f>
        <v>0</v>
      </c>
      <c r="J125" s="70">
        <f>SUM($H$18:$H125)</f>
        <v>431201.75350020552</v>
      </c>
    </row>
    <row r="126" spans="1:10" x14ac:dyDescent="0.3">
      <c r="A126" s="36">
        <f>IF(Values_Entered,A125+1,"")</f>
        <v>109</v>
      </c>
      <c r="B126" s="35">
        <f>IF(Pay_Num&lt;&gt;"",DATE(YEAR(Loan_Start),MONTH(Loan_Start)+(Pay_Num)*12/Num_Pmt_Per_Year,DAY(Loan_Start)),"")</f>
        <v>56139</v>
      </c>
      <c r="C126" s="70">
        <f>IF(Pay_Num&lt;&gt;"",I125,"")</f>
        <v>0</v>
      </c>
      <c r="D126" s="70">
        <f>IF(Pay_Num&lt;&gt;"",Scheduled_Monthly_Payment,"")</f>
        <v>71560.087675010276</v>
      </c>
      <c r="E126" s="71">
        <f>IF(AND(Pay_Num&lt;&gt;"",Sched_Pay+Scheduled_Extra_Payments&lt;Beg_Bal),Scheduled_Extra_Payments,IF(AND(Pay_Num&lt;&gt;"",Beg_Bal-Sched_Pay&gt;0),Beg_Bal-Sched_Pay,IF(Pay_Num&lt;&gt;"",0,"")))</f>
        <v>0</v>
      </c>
      <c r="F126" s="70">
        <f>IF(AND(Pay_Num&lt;&gt;"",Sched_Pay+Extra_Pay&lt;Beg_Bal),Sched_Pay+Extra_Pay,IF(Pay_Num&lt;&gt;"",Beg_Bal,""))</f>
        <v>0</v>
      </c>
      <c r="G126" s="70">
        <f>IF(Pay_Num&lt;&gt;"",Total_Pay-Int,"")</f>
        <v>0</v>
      </c>
      <c r="H126" s="70">
        <f>IF(Pay_Num&lt;&gt;"",Beg_Bal*Interest_Rate/Num_Pmt_Per_Year,"")</f>
        <v>0</v>
      </c>
      <c r="I126" s="70">
        <f>IF(AND(Pay_Num&lt;&gt;"",Sched_Pay+Extra_Pay&lt;Beg_Bal),Beg_Bal-Princ,IF(Pay_Num&lt;&gt;"",0,""))</f>
        <v>0</v>
      </c>
      <c r="J126" s="70">
        <f>SUM($H$18:$H126)</f>
        <v>431201.75350020552</v>
      </c>
    </row>
    <row r="127" spans="1:10" x14ac:dyDescent="0.3">
      <c r="A127" s="36">
        <f>IF(Values_Entered,A126+1,"")</f>
        <v>110</v>
      </c>
      <c r="B127" s="35">
        <f>IF(Pay_Num&lt;&gt;"",DATE(YEAR(Loan_Start),MONTH(Loan_Start)+(Pay_Num)*12/Num_Pmt_Per_Year,DAY(Loan_Start)),"")</f>
        <v>56230</v>
      </c>
      <c r="C127" s="70">
        <f>IF(Pay_Num&lt;&gt;"",I126,"")</f>
        <v>0</v>
      </c>
      <c r="D127" s="70">
        <f>IF(Pay_Num&lt;&gt;"",Scheduled_Monthly_Payment,"")</f>
        <v>71560.087675010276</v>
      </c>
      <c r="E127" s="71">
        <f>IF(AND(Pay_Num&lt;&gt;"",Sched_Pay+Scheduled_Extra_Payments&lt;Beg_Bal),Scheduled_Extra_Payments,IF(AND(Pay_Num&lt;&gt;"",Beg_Bal-Sched_Pay&gt;0),Beg_Bal-Sched_Pay,IF(Pay_Num&lt;&gt;"",0,"")))</f>
        <v>0</v>
      </c>
      <c r="F127" s="70">
        <f>IF(AND(Pay_Num&lt;&gt;"",Sched_Pay+Extra_Pay&lt;Beg_Bal),Sched_Pay+Extra_Pay,IF(Pay_Num&lt;&gt;"",Beg_Bal,""))</f>
        <v>0</v>
      </c>
      <c r="G127" s="70">
        <f>IF(Pay_Num&lt;&gt;"",Total_Pay-Int,"")</f>
        <v>0</v>
      </c>
      <c r="H127" s="70">
        <f>IF(Pay_Num&lt;&gt;"",Beg_Bal*Interest_Rate/Num_Pmt_Per_Year,"")</f>
        <v>0</v>
      </c>
      <c r="I127" s="70">
        <f>IF(AND(Pay_Num&lt;&gt;"",Sched_Pay+Extra_Pay&lt;Beg_Bal),Beg_Bal-Princ,IF(Pay_Num&lt;&gt;"",0,""))</f>
        <v>0</v>
      </c>
      <c r="J127" s="70">
        <f>SUM($H$18:$H127)</f>
        <v>431201.75350020552</v>
      </c>
    </row>
    <row r="128" spans="1:10" x14ac:dyDescent="0.3">
      <c r="A128" s="36">
        <f>IF(Values_Entered,A127+1,"")</f>
        <v>111</v>
      </c>
      <c r="B128" s="35">
        <f>IF(Pay_Num&lt;&gt;"",DATE(YEAR(Loan_Start),MONTH(Loan_Start)+(Pay_Num)*12/Num_Pmt_Per_Year,DAY(Loan_Start)),"")</f>
        <v>56320</v>
      </c>
      <c r="C128" s="70">
        <f>IF(Pay_Num&lt;&gt;"",I127,"")</f>
        <v>0</v>
      </c>
      <c r="D128" s="70">
        <f>IF(Pay_Num&lt;&gt;"",Scheduled_Monthly_Payment,"")</f>
        <v>71560.087675010276</v>
      </c>
      <c r="E128" s="71">
        <f>IF(AND(Pay_Num&lt;&gt;"",Sched_Pay+Scheduled_Extra_Payments&lt;Beg_Bal),Scheduled_Extra_Payments,IF(AND(Pay_Num&lt;&gt;"",Beg_Bal-Sched_Pay&gt;0),Beg_Bal-Sched_Pay,IF(Pay_Num&lt;&gt;"",0,"")))</f>
        <v>0</v>
      </c>
      <c r="F128" s="70">
        <f>IF(AND(Pay_Num&lt;&gt;"",Sched_Pay+Extra_Pay&lt;Beg_Bal),Sched_Pay+Extra_Pay,IF(Pay_Num&lt;&gt;"",Beg_Bal,""))</f>
        <v>0</v>
      </c>
      <c r="G128" s="70">
        <f>IF(Pay_Num&lt;&gt;"",Total_Pay-Int,"")</f>
        <v>0</v>
      </c>
      <c r="H128" s="70">
        <f>IF(Pay_Num&lt;&gt;"",Beg_Bal*Interest_Rate/Num_Pmt_Per_Year,"")</f>
        <v>0</v>
      </c>
      <c r="I128" s="70">
        <f>IF(AND(Pay_Num&lt;&gt;"",Sched_Pay+Extra_Pay&lt;Beg_Bal),Beg_Bal-Princ,IF(Pay_Num&lt;&gt;"",0,""))</f>
        <v>0</v>
      </c>
      <c r="J128" s="70">
        <f>SUM($H$18:$H128)</f>
        <v>431201.75350020552</v>
      </c>
    </row>
    <row r="129" spans="1:10" x14ac:dyDescent="0.3">
      <c r="A129" s="36">
        <f>IF(Values_Entered,A128+1,"")</f>
        <v>112</v>
      </c>
      <c r="B129" s="35">
        <f>IF(Pay_Num&lt;&gt;"",DATE(YEAR(Loan_Start),MONTH(Loan_Start)+(Pay_Num)*12/Num_Pmt_Per_Year,DAY(Loan_Start)),"")</f>
        <v>56412</v>
      </c>
      <c r="C129" s="70">
        <f>IF(Pay_Num&lt;&gt;"",I128,"")</f>
        <v>0</v>
      </c>
      <c r="D129" s="70">
        <f>IF(Pay_Num&lt;&gt;"",Scheduled_Monthly_Payment,"")</f>
        <v>71560.087675010276</v>
      </c>
      <c r="E129" s="71">
        <f>IF(AND(Pay_Num&lt;&gt;"",Sched_Pay+Scheduled_Extra_Payments&lt;Beg_Bal),Scheduled_Extra_Payments,IF(AND(Pay_Num&lt;&gt;"",Beg_Bal-Sched_Pay&gt;0),Beg_Bal-Sched_Pay,IF(Pay_Num&lt;&gt;"",0,"")))</f>
        <v>0</v>
      </c>
      <c r="F129" s="70">
        <f>IF(AND(Pay_Num&lt;&gt;"",Sched_Pay+Extra_Pay&lt;Beg_Bal),Sched_Pay+Extra_Pay,IF(Pay_Num&lt;&gt;"",Beg_Bal,""))</f>
        <v>0</v>
      </c>
      <c r="G129" s="70">
        <f>IF(Pay_Num&lt;&gt;"",Total_Pay-Int,"")</f>
        <v>0</v>
      </c>
      <c r="H129" s="70">
        <f>IF(Pay_Num&lt;&gt;"",Beg_Bal*Interest_Rate/Num_Pmt_Per_Year,"")</f>
        <v>0</v>
      </c>
      <c r="I129" s="70">
        <f>IF(AND(Pay_Num&lt;&gt;"",Sched_Pay+Extra_Pay&lt;Beg_Bal),Beg_Bal-Princ,IF(Pay_Num&lt;&gt;"",0,""))</f>
        <v>0</v>
      </c>
      <c r="J129" s="70">
        <f>SUM($H$18:$H129)</f>
        <v>431201.75350020552</v>
      </c>
    </row>
    <row r="130" spans="1:10" x14ac:dyDescent="0.3">
      <c r="A130" s="36">
        <f>IF(Values_Entered,A129+1,"")</f>
        <v>113</v>
      </c>
      <c r="B130" s="35">
        <f>IF(Pay_Num&lt;&gt;"",DATE(YEAR(Loan_Start),MONTH(Loan_Start)+(Pay_Num)*12/Num_Pmt_Per_Year,DAY(Loan_Start)),"")</f>
        <v>56504</v>
      </c>
      <c r="C130" s="70">
        <f>IF(Pay_Num&lt;&gt;"",I129,"")</f>
        <v>0</v>
      </c>
      <c r="D130" s="70">
        <f>IF(Pay_Num&lt;&gt;"",Scheduled_Monthly_Payment,"")</f>
        <v>71560.087675010276</v>
      </c>
      <c r="E130" s="71">
        <f>IF(AND(Pay_Num&lt;&gt;"",Sched_Pay+Scheduled_Extra_Payments&lt;Beg_Bal),Scheduled_Extra_Payments,IF(AND(Pay_Num&lt;&gt;"",Beg_Bal-Sched_Pay&gt;0),Beg_Bal-Sched_Pay,IF(Pay_Num&lt;&gt;"",0,"")))</f>
        <v>0</v>
      </c>
      <c r="F130" s="70">
        <f>IF(AND(Pay_Num&lt;&gt;"",Sched_Pay+Extra_Pay&lt;Beg_Bal),Sched_Pay+Extra_Pay,IF(Pay_Num&lt;&gt;"",Beg_Bal,""))</f>
        <v>0</v>
      </c>
      <c r="G130" s="70">
        <f>IF(Pay_Num&lt;&gt;"",Total_Pay-Int,"")</f>
        <v>0</v>
      </c>
      <c r="H130" s="70">
        <f>IF(Pay_Num&lt;&gt;"",Beg_Bal*Interest_Rate/Num_Pmt_Per_Year,"")</f>
        <v>0</v>
      </c>
      <c r="I130" s="70">
        <f>IF(AND(Pay_Num&lt;&gt;"",Sched_Pay+Extra_Pay&lt;Beg_Bal),Beg_Bal-Princ,IF(Pay_Num&lt;&gt;"",0,""))</f>
        <v>0</v>
      </c>
      <c r="J130" s="70">
        <f>SUM($H$18:$H130)</f>
        <v>431201.75350020552</v>
      </c>
    </row>
    <row r="131" spans="1:10" x14ac:dyDescent="0.3">
      <c r="A131" s="36">
        <f>IF(Values_Entered,A130+1,"")</f>
        <v>114</v>
      </c>
      <c r="B131" s="35">
        <f>IF(Pay_Num&lt;&gt;"",DATE(YEAR(Loan_Start),MONTH(Loan_Start)+(Pay_Num)*12/Num_Pmt_Per_Year,DAY(Loan_Start)),"")</f>
        <v>56595</v>
      </c>
      <c r="C131" s="70">
        <f>IF(Pay_Num&lt;&gt;"",I130,"")</f>
        <v>0</v>
      </c>
      <c r="D131" s="70">
        <f>IF(Pay_Num&lt;&gt;"",Scheduled_Monthly_Payment,"")</f>
        <v>71560.087675010276</v>
      </c>
      <c r="E131" s="71">
        <f>IF(AND(Pay_Num&lt;&gt;"",Sched_Pay+Scheduled_Extra_Payments&lt;Beg_Bal),Scheduled_Extra_Payments,IF(AND(Pay_Num&lt;&gt;"",Beg_Bal-Sched_Pay&gt;0),Beg_Bal-Sched_Pay,IF(Pay_Num&lt;&gt;"",0,"")))</f>
        <v>0</v>
      </c>
      <c r="F131" s="70">
        <f>IF(AND(Pay_Num&lt;&gt;"",Sched_Pay+Extra_Pay&lt;Beg_Bal),Sched_Pay+Extra_Pay,IF(Pay_Num&lt;&gt;"",Beg_Bal,""))</f>
        <v>0</v>
      </c>
      <c r="G131" s="70">
        <f>IF(Pay_Num&lt;&gt;"",Total_Pay-Int,"")</f>
        <v>0</v>
      </c>
      <c r="H131" s="70">
        <f>IF(Pay_Num&lt;&gt;"",Beg_Bal*Interest_Rate/Num_Pmt_Per_Year,"")</f>
        <v>0</v>
      </c>
      <c r="I131" s="70">
        <f>IF(AND(Pay_Num&lt;&gt;"",Sched_Pay+Extra_Pay&lt;Beg_Bal),Beg_Bal-Princ,IF(Pay_Num&lt;&gt;"",0,""))</f>
        <v>0</v>
      </c>
      <c r="J131" s="70">
        <f>SUM($H$18:$H131)</f>
        <v>431201.75350020552</v>
      </c>
    </row>
    <row r="132" spans="1:10" x14ac:dyDescent="0.3">
      <c r="A132" s="36">
        <f>IF(Values_Entered,A131+1,"")</f>
        <v>115</v>
      </c>
      <c r="B132" s="35">
        <f>IF(Pay_Num&lt;&gt;"",DATE(YEAR(Loan_Start),MONTH(Loan_Start)+(Pay_Num)*12/Num_Pmt_Per_Year,DAY(Loan_Start)),"")</f>
        <v>56685</v>
      </c>
      <c r="C132" s="70">
        <f>IF(Pay_Num&lt;&gt;"",I131,"")</f>
        <v>0</v>
      </c>
      <c r="D132" s="70">
        <f>IF(Pay_Num&lt;&gt;"",Scheduled_Monthly_Payment,"")</f>
        <v>71560.087675010276</v>
      </c>
      <c r="E132" s="71">
        <f>IF(AND(Pay_Num&lt;&gt;"",Sched_Pay+Scheduled_Extra_Payments&lt;Beg_Bal),Scheduled_Extra_Payments,IF(AND(Pay_Num&lt;&gt;"",Beg_Bal-Sched_Pay&gt;0),Beg_Bal-Sched_Pay,IF(Pay_Num&lt;&gt;"",0,"")))</f>
        <v>0</v>
      </c>
      <c r="F132" s="70">
        <f>IF(AND(Pay_Num&lt;&gt;"",Sched_Pay+Extra_Pay&lt;Beg_Bal),Sched_Pay+Extra_Pay,IF(Pay_Num&lt;&gt;"",Beg_Bal,""))</f>
        <v>0</v>
      </c>
      <c r="G132" s="70">
        <f>IF(Pay_Num&lt;&gt;"",Total_Pay-Int,"")</f>
        <v>0</v>
      </c>
      <c r="H132" s="70">
        <f>IF(Pay_Num&lt;&gt;"",Beg_Bal*Interest_Rate/Num_Pmt_Per_Year,"")</f>
        <v>0</v>
      </c>
      <c r="I132" s="70">
        <f>IF(AND(Pay_Num&lt;&gt;"",Sched_Pay+Extra_Pay&lt;Beg_Bal),Beg_Bal-Princ,IF(Pay_Num&lt;&gt;"",0,""))</f>
        <v>0</v>
      </c>
      <c r="J132" s="70">
        <f>SUM($H$18:$H132)</f>
        <v>431201.75350020552</v>
      </c>
    </row>
    <row r="133" spans="1:10" x14ac:dyDescent="0.3">
      <c r="A133" s="36">
        <f>IF(Values_Entered,A132+1,"")</f>
        <v>116</v>
      </c>
      <c r="B133" s="35">
        <f>IF(Pay_Num&lt;&gt;"",DATE(YEAR(Loan_Start),MONTH(Loan_Start)+(Pay_Num)*12/Num_Pmt_Per_Year,DAY(Loan_Start)),"")</f>
        <v>56777</v>
      </c>
      <c r="C133" s="70">
        <f>IF(Pay_Num&lt;&gt;"",I132,"")</f>
        <v>0</v>
      </c>
      <c r="D133" s="70">
        <f>IF(Pay_Num&lt;&gt;"",Scheduled_Monthly_Payment,"")</f>
        <v>71560.087675010276</v>
      </c>
      <c r="E133" s="71">
        <f>IF(AND(Pay_Num&lt;&gt;"",Sched_Pay+Scheduled_Extra_Payments&lt;Beg_Bal),Scheduled_Extra_Payments,IF(AND(Pay_Num&lt;&gt;"",Beg_Bal-Sched_Pay&gt;0),Beg_Bal-Sched_Pay,IF(Pay_Num&lt;&gt;"",0,"")))</f>
        <v>0</v>
      </c>
      <c r="F133" s="70">
        <f>IF(AND(Pay_Num&lt;&gt;"",Sched_Pay+Extra_Pay&lt;Beg_Bal),Sched_Pay+Extra_Pay,IF(Pay_Num&lt;&gt;"",Beg_Bal,""))</f>
        <v>0</v>
      </c>
      <c r="G133" s="70">
        <f>IF(Pay_Num&lt;&gt;"",Total_Pay-Int,"")</f>
        <v>0</v>
      </c>
      <c r="H133" s="70">
        <f>IF(Pay_Num&lt;&gt;"",Beg_Bal*Interest_Rate/Num_Pmt_Per_Year,"")</f>
        <v>0</v>
      </c>
      <c r="I133" s="70">
        <f>IF(AND(Pay_Num&lt;&gt;"",Sched_Pay+Extra_Pay&lt;Beg_Bal),Beg_Bal-Princ,IF(Pay_Num&lt;&gt;"",0,""))</f>
        <v>0</v>
      </c>
      <c r="J133" s="70">
        <f>SUM($H$18:$H133)</f>
        <v>431201.75350020552</v>
      </c>
    </row>
    <row r="134" spans="1:10" x14ac:dyDescent="0.3">
      <c r="A134" s="36">
        <f>IF(Values_Entered,A133+1,"")</f>
        <v>117</v>
      </c>
      <c r="B134" s="35">
        <f>IF(Pay_Num&lt;&gt;"",DATE(YEAR(Loan_Start),MONTH(Loan_Start)+(Pay_Num)*12/Num_Pmt_Per_Year,DAY(Loan_Start)),"")</f>
        <v>56869</v>
      </c>
      <c r="C134" s="70">
        <f>IF(Pay_Num&lt;&gt;"",I133,"")</f>
        <v>0</v>
      </c>
      <c r="D134" s="70">
        <f>IF(Pay_Num&lt;&gt;"",Scheduled_Monthly_Payment,"")</f>
        <v>71560.087675010276</v>
      </c>
      <c r="E134" s="71">
        <f>IF(AND(Pay_Num&lt;&gt;"",Sched_Pay+Scheduled_Extra_Payments&lt;Beg_Bal),Scheduled_Extra_Payments,IF(AND(Pay_Num&lt;&gt;"",Beg_Bal-Sched_Pay&gt;0),Beg_Bal-Sched_Pay,IF(Pay_Num&lt;&gt;"",0,"")))</f>
        <v>0</v>
      </c>
      <c r="F134" s="70">
        <f>IF(AND(Pay_Num&lt;&gt;"",Sched_Pay+Extra_Pay&lt;Beg_Bal),Sched_Pay+Extra_Pay,IF(Pay_Num&lt;&gt;"",Beg_Bal,""))</f>
        <v>0</v>
      </c>
      <c r="G134" s="70">
        <f>IF(Pay_Num&lt;&gt;"",Total_Pay-Int,"")</f>
        <v>0</v>
      </c>
      <c r="H134" s="70">
        <f>IF(Pay_Num&lt;&gt;"",Beg_Bal*Interest_Rate/Num_Pmt_Per_Year,"")</f>
        <v>0</v>
      </c>
      <c r="I134" s="70">
        <f>IF(AND(Pay_Num&lt;&gt;"",Sched_Pay+Extra_Pay&lt;Beg_Bal),Beg_Bal-Princ,IF(Pay_Num&lt;&gt;"",0,""))</f>
        <v>0</v>
      </c>
      <c r="J134" s="70">
        <f>SUM($H$18:$H134)</f>
        <v>431201.75350020552</v>
      </c>
    </row>
    <row r="135" spans="1:10" x14ac:dyDescent="0.3">
      <c r="A135" s="36">
        <f>IF(Values_Entered,A134+1,"")</f>
        <v>118</v>
      </c>
      <c r="B135" s="35">
        <f>IF(Pay_Num&lt;&gt;"",DATE(YEAR(Loan_Start),MONTH(Loan_Start)+(Pay_Num)*12/Num_Pmt_Per_Year,DAY(Loan_Start)),"")</f>
        <v>56960</v>
      </c>
      <c r="C135" s="70">
        <f>IF(Pay_Num&lt;&gt;"",I134,"")</f>
        <v>0</v>
      </c>
      <c r="D135" s="70">
        <f>IF(Pay_Num&lt;&gt;"",Scheduled_Monthly_Payment,"")</f>
        <v>71560.087675010276</v>
      </c>
      <c r="E135" s="71">
        <f>IF(AND(Pay_Num&lt;&gt;"",Sched_Pay+Scheduled_Extra_Payments&lt;Beg_Bal),Scheduled_Extra_Payments,IF(AND(Pay_Num&lt;&gt;"",Beg_Bal-Sched_Pay&gt;0),Beg_Bal-Sched_Pay,IF(Pay_Num&lt;&gt;"",0,"")))</f>
        <v>0</v>
      </c>
      <c r="F135" s="70">
        <f>IF(AND(Pay_Num&lt;&gt;"",Sched_Pay+Extra_Pay&lt;Beg_Bal),Sched_Pay+Extra_Pay,IF(Pay_Num&lt;&gt;"",Beg_Bal,""))</f>
        <v>0</v>
      </c>
      <c r="G135" s="70">
        <f>IF(Pay_Num&lt;&gt;"",Total_Pay-Int,"")</f>
        <v>0</v>
      </c>
      <c r="H135" s="70">
        <f>IF(Pay_Num&lt;&gt;"",Beg_Bal*Interest_Rate/Num_Pmt_Per_Year,"")</f>
        <v>0</v>
      </c>
      <c r="I135" s="70">
        <f>IF(AND(Pay_Num&lt;&gt;"",Sched_Pay+Extra_Pay&lt;Beg_Bal),Beg_Bal-Princ,IF(Pay_Num&lt;&gt;"",0,""))</f>
        <v>0</v>
      </c>
      <c r="J135" s="70">
        <f>SUM($H$18:$H135)</f>
        <v>431201.75350020552</v>
      </c>
    </row>
    <row r="136" spans="1:10" x14ac:dyDescent="0.3">
      <c r="A136" s="36">
        <f>IF(Values_Entered,A135+1,"")</f>
        <v>119</v>
      </c>
      <c r="B136" s="35">
        <f>IF(Pay_Num&lt;&gt;"",DATE(YEAR(Loan_Start),MONTH(Loan_Start)+(Pay_Num)*12/Num_Pmt_Per_Year,DAY(Loan_Start)),"")</f>
        <v>57051</v>
      </c>
      <c r="C136" s="70">
        <f>IF(Pay_Num&lt;&gt;"",I135,"")</f>
        <v>0</v>
      </c>
      <c r="D136" s="70">
        <f>IF(Pay_Num&lt;&gt;"",Scheduled_Monthly_Payment,"")</f>
        <v>71560.087675010276</v>
      </c>
      <c r="E136" s="71">
        <f>IF(AND(Pay_Num&lt;&gt;"",Sched_Pay+Scheduled_Extra_Payments&lt;Beg_Bal),Scheduled_Extra_Payments,IF(AND(Pay_Num&lt;&gt;"",Beg_Bal-Sched_Pay&gt;0),Beg_Bal-Sched_Pay,IF(Pay_Num&lt;&gt;"",0,"")))</f>
        <v>0</v>
      </c>
      <c r="F136" s="70">
        <f>IF(AND(Pay_Num&lt;&gt;"",Sched_Pay+Extra_Pay&lt;Beg_Bal),Sched_Pay+Extra_Pay,IF(Pay_Num&lt;&gt;"",Beg_Bal,""))</f>
        <v>0</v>
      </c>
      <c r="G136" s="70">
        <f>IF(Pay_Num&lt;&gt;"",Total_Pay-Int,"")</f>
        <v>0</v>
      </c>
      <c r="H136" s="70">
        <f>IF(Pay_Num&lt;&gt;"",Beg_Bal*Interest_Rate/Num_Pmt_Per_Year,"")</f>
        <v>0</v>
      </c>
      <c r="I136" s="70">
        <f>IF(AND(Pay_Num&lt;&gt;"",Sched_Pay+Extra_Pay&lt;Beg_Bal),Beg_Bal-Princ,IF(Pay_Num&lt;&gt;"",0,""))</f>
        <v>0</v>
      </c>
      <c r="J136" s="70">
        <f>SUM($H$18:$H136)</f>
        <v>431201.75350020552</v>
      </c>
    </row>
    <row r="137" spans="1:10" x14ac:dyDescent="0.3">
      <c r="A137" s="36">
        <f>IF(Values_Entered,A136+1,"")</f>
        <v>120</v>
      </c>
      <c r="B137" s="35">
        <f>IF(Pay_Num&lt;&gt;"",DATE(YEAR(Loan_Start),MONTH(Loan_Start)+(Pay_Num)*12/Num_Pmt_Per_Year,DAY(Loan_Start)),"")</f>
        <v>57143</v>
      </c>
      <c r="C137" s="70">
        <f>IF(Pay_Num&lt;&gt;"",I136,"")</f>
        <v>0</v>
      </c>
      <c r="D137" s="70">
        <f>IF(Pay_Num&lt;&gt;"",Scheduled_Monthly_Payment,"")</f>
        <v>71560.087675010276</v>
      </c>
      <c r="E137" s="71">
        <f>IF(AND(Pay_Num&lt;&gt;"",Sched_Pay+Scheduled_Extra_Payments&lt;Beg_Bal),Scheduled_Extra_Payments,IF(AND(Pay_Num&lt;&gt;"",Beg_Bal-Sched_Pay&gt;0),Beg_Bal-Sched_Pay,IF(Pay_Num&lt;&gt;"",0,"")))</f>
        <v>0</v>
      </c>
      <c r="F137" s="70">
        <f>IF(AND(Pay_Num&lt;&gt;"",Sched_Pay+Extra_Pay&lt;Beg_Bal),Sched_Pay+Extra_Pay,IF(Pay_Num&lt;&gt;"",Beg_Bal,""))</f>
        <v>0</v>
      </c>
      <c r="G137" s="70">
        <f>IF(Pay_Num&lt;&gt;"",Total_Pay-Int,"")</f>
        <v>0</v>
      </c>
      <c r="H137" s="70">
        <f>IF(Pay_Num&lt;&gt;"",Beg_Bal*Interest_Rate/Num_Pmt_Per_Year,"")</f>
        <v>0</v>
      </c>
      <c r="I137" s="70">
        <f>IF(AND(Pay_Num&lt;&gt;"",Sched_Pay+Extra_Pay&lt;Beg_Bal),Beg_Bal-Princ,IF(Pay_Num&lt;&gt;"",0,""))</f>
        <v>0</v>
      </c>
      <c r="J137" s="70">
        <f>SUM($H$18:$H137)</f>
        <v>431201.75350020552</v>
      </c>
    </row>
    <row r="138" spans="1:10" x14ac:dyDescent="0.3">
      <c r="A138" s="36">
        <f>IF(Values_Entered,A137+1,"")</f>
        <v>121</v>
      </c>
      <c r="B138" s="35">
        <f>IF(Pay_Num&lt;&gt;"",DATE(YEAR(Loan_Start),MONTH(Loan_Start)+(Pay_Num)*12/Num_Pmt_Per_Year,DAY(Loan_Start)),"")</f>
        <v>57235</v>
      </c>
      <c r="C138" s="70">
        <f>IF(Pay_Num&lt;&gt;"",I137,"")</f>
        <v>0</v>
      </c>
      <c r="D138" s="70">
        <f>IF(Pay_Num&lt;&gt;"",Scheduled_Monthly_Payment,"")</f>
        <v>71560.087675010276</v>
      </c>
      <c r="E138" s="71">
        <f>IF(AND(Pay_Num&lt;&gt;"",Sched_Pay+Scheduled_Extra_Payments&lt;Beg_Bal),Scheduled_Extra_Payments,IF(AND(Pay_Num&lt;&gt;"",Beg_Bal-Sched_Pay&gt;0),Beg_Bal-Sched_Pay,IF(Pay_Num&lt;&gt;"",0,"")))</f>
        <v>0</v>
      </c>
      <c r="F138" s="70">
        <f>IF(AND(Pay_Num&lt;&gt;"",Sched_Pay+Extra_Pay&lt;Beg_Bal),Sched_Pay+Extra_Pay,IF(Pay_Num&lt;&gt;"",Beg_Bal,""))</f>
        <v>0</v>
      </c>
      <c r="G138" s="70">
        <f>IF(Pay_Num&lt;&gt;"",Total_Pay-Int,"")</f>
        <v>0</v>
      </c>
      <c r="H138" s="70">
        <f>IF(Pay_Num&lt;&gt;"",Beg_Bal*Interest_Rate/Num_Pmt_Per_Year,"")</f>
        <v>0</v>
      </c>
      <c r="I138" s="70">
        <f>IF(AND(Pay_Num&lt;&gt;"",Sched_Pay+Extra_Pay&lt;Beg_Bal),Beg_Bal-Princ,IF(Pay_Num&lt;&gt;"",0,""))</f>
        <v>0</v>
      </c>
      <c r="J138" s="70">
        <f>SUM($H$18:$H138)</f>
        <v>431201.75350020552</v>
      </c>
    </row>
    <row r="139" spans="1:10" x14ac:dyDescent="0.3">
      <c r="A139" s="36">
        <f>IF(Values_Entered,A138+1,"")</f>
        <v>122</v>
      </c>
      <c r="B139" s="35">
        <f>IF(Pay_Num&lt;&gt;"",DATE(YEAR(Loan_Start),MONTH(Loan_Start)+(Pay_Num)*12/Num_Pmt_Per_Year,DAY(Loan_Start)),"")</f>
        <v>57326</v>
      </c>
      <c r="C139" s="70">
        <f>IF(Pay_Num&lt;&gt;"",I138,"")</f>
        <v>0</v>
      </c>
      <c r="D139" s="70">
        <f>IF(Pay_Num&lt;&gt;"",Scheduled_Monthly_Payment,"")</f>
        <v>71560.087675010276</v>
      </c>
      <c r="E139" s="71">
        <f>IF(AND(Pay_Num&lt;&gt;"",Sched_Pay+Scheduled_Extra_Payments&lt;Beg_Bal),Scheduled_Extra_Payments,IF(AND(Pay_Num&lt;&gt;"",Beg_Bal-Sched_Pay&gt;0),Beg_Bal-Sched_Pay,IF(Pay_Num&lt;&gt;"",0,"")))</f>
        <v>0</v>
      </c>
      <c r="F139" s="70">
        <f>IF(AND(Pay_Num&lt;&gt;"",Sched_Pay+Extra_Pay&lt;Beg_Bal),Sched_Pay+Extra_Pay,IF(Pay_Num&lt;&gt;"",Beg_Bal,""))</f>
        <v>0</v>
      </c>
      <c r="G139" s="70">
        <f>IF(Pay_Num&lt;&gt;"",Total_Pay-Int,"")</f>
        <v>0</v>
      </c>
      <c r="H139" s="70">
        <f>IF(Pay_Num&lt;&gt;"",Beg_Bal*Interest_Rate/Num_Pmt_Per_Year,"")</f>
        <v>0</v>
      </c>
      <c r="I139" s="70">
        <f>IF(AND(Pay_Num&lt;&gt;"",Sched_Pay+Extra_Pay&lt;Beg_Bal),Beg_Bal-Princ,IF(Pay_Num&lt;&gt;"",0,""))</f>
        <v>0</v>
      </c>
      <c r="J139" s="70">
        <f>SUM($H$18:$H139)</f>
        <v>431201.75350020552</v>
      </c>
    </row>
    <row r="140" spans="1:10" x14ac:dyDescent="0.3">
      <c r="A140" s="36">
        <f>IF(Values_Entered,A139+1,"")</f>
        <v>123</v>
      </c>
      <c r="B140" s="35">
        <f>IF(Pay_Num&lt;&gt;"",DATE(YEAR(Loan_Start),MONTH(Loan_Start)+(Pay_Num)*12/Num_Pmt_Per_Year,DAY(Loan_Start)),"")</f>
        <v>57416</v>
      </c>
      <c r="C140" s="70">
        <f>IF(Pay_Num&lt;&gt;"",I139,"")</f>
        <v>0</v>
      </c>
      <c r="D140" s="70">
        <f>IF(Pay_Num&lt;&gt;"",Scheduled_Monthly_Payment,"")</f>
        <v>71560.087675010276</v>
      </c>
      <c r="E140" s="71">
        <f>IF(AND(Pay_Num&lt;&gt;"",Sched_Pay+Scheduled_Extra_Payments&lt;Beg_Bal),Scheduled_Extra_Payments,IF(AND(Pay_Num&lt;&gt;"",Beg_Bal-Sched_Pay&gt;0),Beg_Bal-Sched_Pay,IF(Pay_Num&lt;&gt;"",0,"")))</f>
        <v>0</v>
      </c>
      <c r="F140" s="70">
        <f>IF(AND(Pay_Num&lt;&gt;"",Sched_Pay+Extra_Pay&lt;Beg_Bal),Sched_Pay+Extra_Pay,IF(Pay_Num&lt;&gt;"",Beg_Bal,""))</f>
        <v>0</v>
      </c>
      <c r="G140" s="70">
        <f>IF(Pay_Num&lt;&gt;"",Total_Pay-Int,"")</f>
        <v>0</v>
      </c>
      <c r="H140" s="70">
        <f>IF(Pay_Num&lt;&gt;"",Beg_Bal*Interest_Rate/Num_Pmt_Per_Year,"")</f>
        <v>0</v>
      </c>
      <c r="I140" s="70">
        <f>IF(AND(Pay_Num&lt;&gt;"",Sched_Pay+Extra_Pay&lt;Beg_Bal),Beg_Bal-Princ,IF(Pay_Num&lt;&gt;"",0,""))</f>
        <v>0</v>
      </c>
      <c r="J140" s="70">
        <f>SUM($H$18:$H140)</f>
        <v>431201.75350020552</v>
      </c>
    </row>
    <row r="141" spans="1:10" x14ac:dyDescent="0.3">
      <c r="A141" s="36">
        <f>IF(Values_Entered,A140+1,"")</f>
        <v>124</v>
      </c>
      <c r="B141" s="35">
        <f>IF(Pay_Num&lt;&gt;"",DATE(YEAR(Loan_Start),MONTH(Loan_Start)+(Pay_Num)*12/Num_Pmt_Per_Year,DAY(Loan_Start)),"")</f>
        <v>57508</v>
      </c>
      <c r="C141" s="70">
        <f>IF(Pay_Num&lt;&gt;"",I140,"")</f>
        <v>0</v>
      </c>
      <c r="D141" s="70">
        <f>IF(Pay_Num&lt;&gt;"",Scheduled_Monthly_Payment,"")</f>
        <v>71560.087675010276</v>
      </c>
      <c r="E141" s="71">
        <f>IF(AND(Pay_Num&lt;&gt;"",Sched_Pay+Scheduled_Extra_Payments&lt;Beg_Bal),Scheduled_Extra_Payments,IF(AND(Pay_Num&lt;&gt;"",Beg_Bal-Sched_Pay&gt;0),Beg_Bal-Sched_Pay,IF(Pay_Num&lt;&gt;"",0,"")))</f>
        <v>0</v>
      </c>
      <c r="F141" s="70">
        <f>IF(AND(Pay_Num&lt;&gt;"",Sched_Pay+Extra_Pay&lt;Beg_Bal),Sched_Pay+Extra_Pay,IF(Pay_Num&lt;&gt;"",Beg_Bal,""))</f>
        <v>0</v>
      </c>
      <c r="G141" s="70">
        <f>IF(Pay_Num&lt;&gt;"",Total_Pay-Int,"")</f>
        <v>0</v>
      </c>
      <c r="H141" s="70">
        <f>IF(Pay_Num&lt;&gt;"",Beg_Bal*Interest_Rate/Num_Pmt_Per_Year,"")</f>
        <v>0</v>
      </c>
      <c r="I141" s="70">
        <f>IF(AND(Pay_Num&lt;&gt;"",Sched_Pay+Extra_Pay&lt;Beg_Bal),Beg_Bal-Princ,IF(Pay_Num&lt;&gt;"",0,""))</f>
        <v>0</v>
      </c>
      <c r="J141" s="70">
        <f>SUM($H$18:$H141)</f>
        <v>431201.75350020552</v>
      </c>
    </row>
    <row r="142" spans="1:10" x14ac:dyDescent="0.3">
      <c r="A142" s="36">
        <f>IF(Values_Entered,A141+1,"")</f>
        <v>125</v>
      </c>
      <c r="B142" s="35">
        <f>IF(Pay_Num&lt;&gt;"",DATE(YEAR(Loan_Start),MONTH(Loan_Start)+(Pay_Num)*12/Num_Pmt_Per_Year,DAY(Loan_Start)),"")</f>
        <v>57600</v>
      </c>
      <c r="C142" s="70">
        <f>IF(Pay_Num&lt;&gt;"",I141,"")</f>
        <v>0</v>
      </c>
      <c r="D142" s="70">
        <f>IF(Pay_Num&lt;&gt;"",Scheduled_Monthly_Payment,"")</f>
        <v>71560.087675010276</v>
      </c>
      <c r="E142" s="71">
        <f>IF(AND(Pay_Num&lt;&gt;"",Sched_Pay+Scheduled_Extra_Payments&lt;Beg_Bal),Scheduled_Extra_Payments,IF(AND(Pay_Num&lt;&gt;"",Beg_Bal-Sched_Pay&gt;0),Beg_Bal-Sched_Pay,IF(Pay_Num&lt;&gt;"",0,"")))</f>
        <v>0</v>
      </c>
      <c r="F142" s="70">
        <f>IF(AND(Pay_Num&lt;&gt;"",Sched_Pay+Extra_Pay&lt;Beg_Bal),Sched_Pay+Extra_Pay,IF(Pay_Num&lt;&gt;"",Beg_Bal,""))</f>
        <v>0</v>
      </c>
      <c r="G142" s="70">
        <f>IF(Pay_Num&lt;&gt;"",Total_Pay-Int,"")</f>
        <v>0</v>
      </c>
      <c r="H142" s="70">
        <f>IF(Pay_Num&lt;&gt;"",Beg_Bal*Interest_Rate/Num_Pmt_Per_Year,"")</f>
        <v>0</v>
      </c>
      <c r="I142" s="70">
        <f>IF(AND(Pay_Num&lt;&gt;"",Sched_Pay+Extra_Pay&lt;Beg_Bal),Beg_Bal-Princ,IF(Pay_Num&lt;&gt;"",0,""))</f>
        <v>0</v>
      </c>
      <c r="J142" s="70">
        <f>SUM($H$18:$H142)</f>
        <v>431201.75350020552</v>
      </c>
    </row>
    <row r="143" spans="1:10" x14ac:dyDescent="0.3">
      <c r="A143" s="36">
        <f>IF(Values_Entered,A142+1,"")</f>
        <v>126</v>
      </c>
      <c r="B143" s="35">
        <f>IF(Pay_Num&lt;&gt;"",DATE(YEAR(Loan_Start),MONTH(Loan_Start)+(Pay_Num)*12/Num_Pmt_Per_Year,DAY(Loan_Start)),"")</f>
        <v>57691</v>
      </c>
      <c r="C143" s="70">
        <f>IF(Pay_Num&lt;&gt;"",I142,"")</f>
        <v>0</v>
      </c>
      <c r="D143" s="70">
        <f>IF(Pay_Num&lt;&gt;"",Scheduled_Monthly_Payment,"")</f>
        <v>71560.087675010276</v>
      </c>
      <c r="E143" s="71">
        <f>IF(AND(Pay_Num&lt;&gt;"",Sched_Pay+Scheduled_Extra_Payments&lt;Beg_Bal),Scheduled_Extra_Payments,IF(AND(Pay_Num&lt;&gt;"",Beg_Bal-Sched_Pay&gt;0),Beg_Bal-Sched_Pay,IF(Pay_Num&lt;&gt;"",0,"")))</f>
        <v>0</v>
      </c>
      <c r="F143" s="70">
        <f>IF(AND(Pay_Num&lt;&gt;"",Sched_Pay+Extra_Pay&lt;Beg_Bal),Sched_Pay+Extra_Pay,IF(Pay_Num&lt;&gt;"",Beg_Bal,""))</f>
        <v>0</v>
      </c>
      <c r="G143" s="70">
        <f>IF(Pay_Num&lt;&gt;"",Total_Pay-Int,"")</f>
        <v>0</v>
      </c>
      <c r="H143" s="70">
        <f>IF(Pay_Num&lt;&gt;"",Beg_Bal*Interest_Rate/Num_Pmt_Per_Year,"")</f>
        <v>0</v>
      </c>
      <c r="I143" s="70">
        <f>IF(AND(Pay_Num&lt;&gt;"",Sched_Pay+Extra_Pay&lt;Beg_Bal),Beg_Bal-Princ,IF(Pay_Num&lt;&gt;"",0,""))</f>
        <v>0</v>
      </c>
      <c r="J143" s="70">
        <f>SUM($H$18:$H143)</f>
        <v>431201.75350020552</v>
      </c>
    </row>
    <row r="144" spans="1:10" x14ac:dyDescent="0.3">
      <c r="A144" s="36">
        <f>IF(Values_Entered,A143+1,"")</f>
        <v>127</v>
      </c>
      <c r="B144" s="35">
        <f>IF(Pay_Num&lt;&gt;"",DATE(YEAR(Loan_Start),MONTH(Loan_Start)+(Pay_Num)*12/Num_Pmt_Per_Year,DAY(Loan_Start)),"")</f>
        <v>57781</v>
      </c>
      <c r="C144" s="70">
        <f>IF(Pay_Num&lt;&gt;"",I143,"")</f>
        <v>0</v>
      </c>
      <c r="D144" s="70">
        <f>IF(Pay_Num&lt;&gt;"",Scheduled_Monthly_Payment,"")</f>
        <v>71560.087675010276</v>
      </c>
      <c r="E144" s="71">
        <f>IF(AND(Pay_Num&lt;&gt;"",Sched_Pay+Scheduled_Extra_Payments&lt;Beg_Bal),Scheduled_Extra_Payments,IF(AND(Pay_Num&lt;&gt;"",Beg_Bal-Sched_Pay&gt;0),Beg_Bal-Sched_Pay,IF(Pay_Num&lt;&gt;"",0,"")))</f>
        <v>0</v>
      </c>
      <c r="F144" s="70">
        <f>IF(AND(Pay_Num&lt;&gt;"",Sched_Pay+Extra_Pay&lt;Beg_Bal),Sched_Pay+Extra_Pay,IF(Pay_Num&lt;&gt;"",Beg_Bal,""))</f>
        <v>0</v>
      </c>
      <c r="G144" s="70">
        <f>IF(Pay_Num&lt;&gt;"",Total_Pay-Int,"")</f>
        <v>0</v>
      </c>
      <c r="H144" s="70">
        <f>IF(Pay_Num&lt;&gt;"",Beg_Bal*Interest_Rate/Num_Pmt_Per_Year,"")</f>
        <v>0</v>
      </c>
      <c r="I144" s="70">
        <f>IF(AND(Pay_Num&lt;&gt;"",Sched_Pay+Extra_Pay&lt;Beg_Bal),Beg_Bal-Princ,IF(Pay_Num&lt;&gt;"",0,""))</f>
        <v>0</v>
      </c>
      <c r="J144" s="70">
        <f>SUM($H$18:$H144)</f>
        <v>431201.75350020552</v>
      </c>
    </row>
    <row r="145" spans="1:10" x14ac:dyDescent="0.3">
      <c r="A145" s="36">
        <f>IF(Values_Entered,A144+1,"")</f>
        <v>128</v>
      </c>
      <c r="B145" s="35">
        <f>IF(Pay_Num&lt;&gt;"",DATE(YEAR(Loan_Start),MONTH(Loan_Start)+(Pay_Num)*12/Num_Pmt_Per_Year,DAY(Loan_Start)),"")</f>
        <v>57873</v>
      </c>
      <c r="C145" s="70">
        <f>IF(Pay_Num&lt;&gt;"",I144,"")</f>
        <v>0</v>
      </c>
      <c r="D145" s="70">
        <f>IF(Pay_Num&lt;&gt;"",Scheduled_Monthly_Payment,"")</f>
        <v>71560.087675010276</v>
      </c>
      <c r="E145" s="71">
        <f>IF(AND(Pay_Num&lt;&gt;"",Sched_Pay+Scheduled_Extra_Payments&lt;Beg_Bal),Scheduled_Extra_Payments,IF(AND(Pay_Num&lt;&gt;"",Beg_Bal-Sched_Pay&gt;0),Beg_Bal-Sched_Pay,IF(Pay_Num&lt;&gt;"",0,"")))</f>
        <v>0</v>
      </c>
      <c r="F145" s="70">
        <f>IF(AND(Pay_Num&lt;&gt;"",Sched_Pay+Extra_Pay&lt;Beg_Bal),Sched_Pay+Extra_Pay,IF(Pay_Num&lt;&gt;"",Beg_Bal,""))</f>
        <v>0</v>
      </c>
      <c r="G145" s="70">
        <f>IF(Pay_Num&lt;&gt;"",Total_Pay-Int,"")</f>
        <v>0</v>
      </c>
      <c r="H145" s="70">
        <f>IF(Pay_Num&lt;&gt;"",Beg_Bal*Interest_Rate/Num_Pmt_Per_Year,"")</f>
        <v>0</v>
      </c>
      <c r="I145" s="70">
        <f>IF(AND(Pay_Num&lt;&gt;"",Sched_Pay+Extra_Pay&lt;Beg_Bal),Beg_Bal-Princ,IF(Pay_Num&lt;&gt;"",0,""))</f>
        <v>0</v>
      </c>
      <c r="J145" s="70">
        <f>SUM($H$18:$H145)</f>
        <v>431201.75350020552</v>
      </c>
    </row>
    <row r="146" spans="1:10" x14ac:dyDescent="0.3">
      <c r="A146" s="36">
        <f>IF(Values_Entered,A145+1,"")</f>
        <v>129</v>
      </c>
      <c r="B146" s="35">
        <f>IF(Pay_Num&lt;&gt;"",DATE(YEAR(Loan_Start),MONTH(Loan_Start)+(Pay_Num)*12/Num_Pmt_Per_Year,DAY(Loan_Start)),"")</f>
        <v>57965</v>
      </c>
      <c r="C146" s="70">
        <f>IF(Pay_Num&lt;&gt;"",I145,"")</f>
        <v>0</v>
      </c>
      <c r="D146" s="70">
        <f>IF(Pay_Num&lt;&gt;"",Scheduled_Monthly_Payment,"")</f>
        <v>71560.087675010276</v>
      </c>
      <c r="E146" s="71">
        <f>IF(AND(Pay_Num&lt;&gt;"",Sched_Pay+Scheduled_Extra_Payments&lt;Beg_Bal),Scheduled_Extra_Payments,IF(AND(Pay_Num&lt;&gt;"",Beg_Bal-Sched_Pay&gt;0),Beg_Bal-Sched_Pay,IF(Pay_Num&lt;&gt;"",0,"")))</f>
        <v>0</v>
      </c>
      <c r="F146" s="70">
        <f>IF(AND(Pay_Num&lt;&gt;"",Sched_Pay+Extra_Pay&lt;Beg_Bal),Sched_Pay+Extra_Pay,IF(Pay_Num&lt;&gt;"",Beg_Bal,""))</f>
        <v>0</v>
      </c>
      <c r="G146" s="70">
        <f>IF(Pay_Num&lt;&gt;"",Total_Pay-Int,"")</f>
        <v>0</v>
      </c>
      <c r="H146" s="70">
        <f>IF(Pay_Num&lt;&gt;"",Beg_Bal*Interest_Rate/Num_Pmt_Per_Year,"")</f>
        <v>0</v>
      </c>
      <c r="I146" s="70">
        <f>IF(AND(Pay_Num&lt;&gt;"",Sched_Pay+Extra_Pay&lt;Beg_Bal),Beg_Bal-Princ,IF(Pay_Num&lt;&gt;"",0,""))</f>
        <v>0</v>
      </c>
      <c r="J146" s="70">
        <f>SUM($H$18:$H146)</f>
        <v>431201.75350020552</v>
      </c>
    </row>
    <row r="147" spans="1:10" x14ac:dyDescent="0.3">
      <c r="A147" s="36">
        <f>IF(Values_Entered,A146+1,"")</f>
        <v>130</v>
      </c>
      <c r="B147" s="35">
        <f>IF(Pay_Num&lt;&gt;"",DATE(YEAR(Loan_Start),MONTH(Loan_Start)+(Pay_Num)*12/Num_Pmt_Per_Year,DAY(Loan_Start)),"")</f>
        <v>58056</v>
      </c>
      <c r="C147" s="70">
        <f>IF(Pay_Num&lt;&gt;"",I146,"")</f>
        <v>0</v>
      </c>
      <c r="D147" s="70">
        <f>IF(Pay_Num&lt;&gt;"",Scheduled_Monthly_Payment,"")</f>
        <v>71560.087675010276</v>
      </c>
      <c r="E147" s="71">
        <f>IF(AND(Pay_Num&lt;&gt;"",Sched_Pay+Scheduled_Extra_Payments&lt;Beg_Bal),Scheduled_Extra_Payments,IF(AND(Pay_Num&lt;&gt;"",Beg_Bal-Sched_Pay&gt;0),Beg_Bal-Sched_Pay,IF(Pay_Num&lt;&gt;"",0,"")))</f>
        <v>0</v>
      </c>
      <c r="F147" s="70">
        <f>IF(AND(Pay_Num&lt;&gt;"",Sched_Pay+Extra_Pay&lt;Beg_Bal),Sched_Pay+Extra_Pay,IF(Pay_Num&lt;&gt;"",Beg_Bal,""))</f>
        <v>0</v>
      </c>
      <c r="G147" s="70">
        <f>IF(Pay_Num&lt;&gt;"",Total_Pay-Int,"")</f>
        <v>0</v>
      </c>
      <c r="H147" s="70">
        <f>IF(Pay_Num&lt;&gt;"",Beg_Bal*Interest_Rate/Num_Pmt_Per_Year,"")</f>
        <v>0</v>
      </c>
      <c r="I147" s="70">
        <f>IF(AND(Pay_Num&lt;&gt;"",Sched_Pay+Extra_Pay&lt;Beg_Bal),Beg_Bal-Princ,IF(Pay_Num&lt;&gt;"",0,""))</f>
        <v>0</v>
      </c>
      <c r="J147" s="70">
        <f>SUM($H$18:$H147)</f>
        <v>431201.75350020552</v>
      </c>
    </row>
    <row r="148" spans="1:10" x14ac:dyDescent="0.3">
      <c r="A148" s="36">
        <f>IF(Values_Entered,A147+1,"")</f>
        <v>131</v>
      </c>
      <c r="B148" s="35">
        <f>IF(Pay_Num&lt;&gt;"",DATE(YEAR(Loan_Start),MONTH(Loan_Start)+(Pay_Num)*12/Num_Pmt_Per_Year,DAY(Loan_Start)),"")</f>
        <v>58146</v>
      </c>
      <c r="C148" s="70">
        <f>IF(Pay_Num&lt;&gt;"",I147,"")</f>
        <v>0</v>
      </c>
      <c r="D148" s="70">
        <f>IF(Pay_Num&lt;&gt;"",Scheduled_Monthly_Payment,"")</f>
        <v>71560.087675010276</v>
      </c>
      <c r="E148" s="71">
        <f>IF(AND(Pay_Num&lt;&gt;"",Sched_Pay+Scheduled_Extra_Payments&lt;Beg_Bal),Scheduled_Extra_Payments,IF(AND(Pay_Num&lt;&gt;"",Beg_Bal-Sched_Pay&gt;0),Beg_Bal-Sched_Pay,IF(Pay_Num&lt;&gt;"",0,"")))</f>
        <v>0</v>
      </c>
      <c r="F148" s="70">
        <f>IF(AND(Pay_Num&lt;&gt;"",Sched_Pay+Extra_Pay&lt;Beg_Bal),Sched_Pay+Extra_Pay,IF(Pay_Num&lt;&gt;"",Beg_Bal,""))</f>
        <v>0</v>
      </c>
      <c r="G148" s="70">
        <f>IF(Pay_Num&lt;&gt;"",Total_Pay-Int,"")</f>
        <v>0</v>
      </c>
      <c r="H148" s="70">
        <f>IF(Pay_Num&lt;&gt;"",Beg_Bal*Interest_Rate/Num_Pmt_Per_Year,"")</f>
        <v>0</v>
      </c>
      <c r="I148" s="70">
        <f>IF(AND(Pay_Num&lt;&gt;"",Sched_Pay+Extra_Pay&lt;Beg_Bal),Beg_Bal-Princ,IF(Pay_Num&lt;&gt;"",0,""))</f>
        <v>0</v>
      </c>
      <c r="J148" s="70">
        <f>SUM($H$18:$H148)</f>
        <v>431201.75350020552</v>
      </c>
    </row>
    <row r="149" spans="1:10" x14ac:dyDescent="0.3">
      <c r="A149" s="36">
        <f>IF(Values_Entered,A148+1,"")</f>
        <v>132</v>
      </c>
      <c r="B149" s="35">
        <f>IF(Pay_Num&lt;&gt;"",DATE(YEAR(Loan_Start),MONTH(Loan_Start)+(Pay_Num)*12/Num_Pmt_Per_Year,DAY(Loan_Start)),"")</f>
        <v>58238</v>
      </c>
      <c r="C149" s="70">
        <f>IF(Pay_Num&lt;&gt;"",I148,"")</f>
        <v>0</v>
      </c>
      <c r="D149" s="70">
        <f>IF(Pay_Num&lt;&gt;"",Scheduled_Monthly_Payment,"")</f>
        <v>71560.087675010276</v>
      </c>
      <c r="E149" s="71">
        <f>IF(AND(Pay_Num&lt;&gt;"",Sched_Pay+Scheduled_Extra_Payments&lt;Beg_Bal),Scheduled_Extra_Payments,IF(AND(Pay_Num&lt;&gt;"",Beg_Bal-Sched_Pay&gt;0),Beg_Bal-Sched_Pay,IF(Pay_Num&lt;&gt;"",0,"")))</f>
        <v>0</v>
      </c>
      <c r="F149" s="70">
        <f>IF(AND(Pay_Num&lt;&gt;"",Sched_Pay+Extra_Pay&lt;Beg_Bal),Sched_Pay+Extra_Pay,IF(Pay_Num&lt;&gt;"",Beg_Bal,""))</f>
        <v>0</v>
      </c>
      <c r="G149" s="70">
        <f>IF(Pay_Num&lt;&gt;"",Total_Pay-Int,"")</f>
        <v>0</v>
      </c>
      <c r="H149" s="70">
        <f>IF(Pay_Num&lt;&gt;"",Beg_Bal*Interest_Rate/Num_Pmt_Per_Year,"")</f>
        <v>0</v>
      </c>
      <c r="I149" s="70">
        <f>IF(AND(Pay_Num&lt;&gt;"",Sched_Pay+Extra_Pay&lt;Beg_Bal),Beg_Bal-Princ,IF(Pay_Num&lt;&gt;"",0,""))</f>
        <v>0</v>
      </c>
      <c r="J149" s="70">
        <f>SUM($H$18:$H149)</f>
        <v>431201.75350020552</v>
      </c>
    </row>
    <row r="150" spans="1:10" x14ac:dyDescent="0.3">
      <c r="A150" s="36">
        <f>IF(Values_Entered,A149+1,"")</f>
        <v>133</v>
      </c>
      <c r="B150" s="35">
        <f>IF(Pay_Num&lt;&gt;"",DATE(YEAR(Loan_Start),MONTH(Loan_Start)+(Pay_Num)*12/Num_Pmt_Per_Year,DAY(Loan_Start)),"")</f>
        <v>58330</v>
      </c>
      <c r="C150" s="70">
        <f>IF(Pay_Num&lt;&gt;"",I149,"")</f>
        <v>0</v>
      </c>
      <c r="D150" s="70">
        <f>IF(Pay_Num&lt;&gt;"",Scheduled_Monthly_Payment,"")</f>
        <v>71560.087675010276</v>
      </c>
      <c r="E150" s="71">
        <f>IF(AND(Pay_Num&lt;&gt;"",Sched_Pay+Scheduled_Extra_Payments&lt;Beg_Bal),Scheduled_Extra_Payments,IF(AND(Pay_Num&lt;&gt;"",Beg_Bal-Sched_Pay&gt;0),Beg_Bal-Sched_Pay,IF(Pay_Num&lt;&gt;"",0,"")))</f>
        <v>0</v>
      </c>
      <c r="F150" s="70">
        <f>IF(AND(Pay_Num&lt;&gt;"",Sched_Pay+Extra_Pay&lt;Beg_Bal),Sched_Pay+Extra_Pay,IF(Pay_Num&lt;&gt;"",Beg_Bal,""))</f>
        <v>0</v>
      </c>
      <c r="G150" s="70">
        <f>IF(Pay_Num&lt;&gt;"",Total_Pay-Int,"")</f>
        <v>0</v>
      </c>
      <c r="H150" s="70">
        <f>IF(Pay_Num&lt;&gt;"",Beg_Bal*Interest_Rate/Num_Pmt_Per_Year,"")</f>
        <v>0</v>
      </c>
      <c r="I150" s="70">
        <f>IF(AND(Pay_Num&lt;&gt;"",Sched_Pay+Extra_Pay&lt;Beg_Bal),Beg_Bal-Princ,IF(Pay_Num&lt;&gt;"",0,""))</f>
        <v>0</v>
      </c>
      <c r="J150" s="70">
        <f>SUM($H$18:$H150)</f>
        <v>431201.75350020552</v>
      </c>
    </row>
    <row r="151" spans="1:10" x14ac:dyDescent="0.3">
      <c r="A151" s="36">
        <f>IF(Values_Entered,A150+1,"")</f>
        <v>134</v>
      </c>
      <c r="B151" s="35">
        <f>IF(Pay_Num&lt;&gt;"",DATE(YEAR(Loan_Start),MONTH(Loan_Start)+(Pay_Num)*12/Num_Pmt_Per_Year,DAY(Loan_Start)),"")</f>
        <v>58421</v>
      </c>
      <c r="C151" s="70">
        <f>IF(Pay_Num&lt;&gt;"",I150,"")</f>
        <v>0</v>
      </c>
      <c r="D151" s="70">
        <f>IF(Pay_Num&lt;&gt;"",Scheduled_Monthly_Payment,"")</f>
        <v>71560.087675010276</v>
      </c>
      <c r="E151" s="71">
        <f>IF(AND(Pay_Num&lt;&gt;"",Sched_Pay+Scheduled_Extra_Payments&lt;Beg_Bal),Scheduled_Extra_Payments,IF(AND(Pay_Num&lt;&gt;"",Beg_Bal-Sched_Pay&gt;0),Beg_Bal-Sched_Pay,IF(Pay_Num&lt;&gt;"",0,"")))</f>
        <v>0</v>
      </c>
      <c r="F151" s="70">
        <f>IF(AND(Pay_Num&lt;&gt;"",Sched_Pay+Extra_Pay&lt;Beg_Bal),Sched_Pay+Extra_Pay,IF(Pay_Num&lt;&gt;"",Beg_Bal,""))</f>
        <v>0</v>
      </c>
      <c r="G151" s="70">
        <f>IF(Pay_Num&lt;&gt;"",Total_Pay-Int,"")</f>
        <v>0</v>
      </c>
      <c r="H151" s="70">
        <f>IF(Pay_Num&lt;&gt;"",Beg_Bal*Interest_Rate/Num_Pmt_Per_Year,"")</f>
        <v>0</v>
      </c>
      <c r="I151" s="70">
        <f>IF(AND(Pay_Num&lt;&gt;"",Sched_Pay+Extra_Pay&lt;Beg_Bal),Beg_Bal-Princ,IF(Pay_Num&lt;&gt;"",0,""))</f>
        <v>0</v>
      </c>
      <c r="J151" s="70">
        <f>SUM($H$18:$H151)</f>
        <v>431201.75350020552</v>
      </c>
    </row>
    <row r="152" spans="1:10" x14ac:dyDescent="0.3">
      <c r="A152" s="36">
        <f>IF(Values_Entered,A151+1,"")</f>
        <v>135</v>
      </c>
      <c r="B152" s="35">
        <f>IF(Pay_Num&lt;&gt;"",DATE(YEAR(Loan_Start),MONTH(Loan_Start)+(Pay_Num)*12/Num_Pmt_Per_Year,DAY(Loan_Start)),"")</f>
        <v>58512</v>
      </c>
      <c r="C152" s="70">
        <f>IF(Pay_Num&lt;&gt;"",I151,"")</f>
        <v>0</v>
      </c>
      <c r="D152" s="70">
        <f>IF(Pay_Num&lt;&gt;"",Scheduled_Monthly_Payment,"")</f>
        <v>71560.087675010276</v>
      </c>
      <c r="E152" s="71">
        <f>IF(AND(Pay_Num&lt;&gt;"",Sched_Pay+Scheduled_Extra_Payments&lt;Beg_Bal),Scheduled_Extra_Payments,IF(AND(Pay_Num&lt;&gt;"",Beg_Bal-Sched_Pay&gt;0),Beg_Bal-Sched_Pay,IF(Pay_Num&lt;&gt;"",0,"")))</f>
        <v>0</v>
      </c>
      <c r="F152" s="70">
        <f>IF(AND(Pay_Num&lt;&gt;"",Sched_Pay+Extra_Pay&lt;Beg_Bal),Sched_Pay+Extra_Pay,IF(Pay_Num&lt;&gt;"",Beg_Bal,""))</f>
        <v>0</v>
      </c>
      <c r="G152" s="70">
        <f>IF(Pay_Num&lt;&gt;"",Total_Pay-Int,"")</f>
        <v>0</v>
      </c>
      <c r="H152" s="70">
        <f>IF(Pay_Num&lt;&gt;"",Beg_Bal*Interest_Rate/Num_Pmt_Per_Year,"")</f>
        <v>0</v>
      </c>
      <c r="I152" s="70">
        <f>IF(AND(Pay_Num&lt;&gt;"",Sched_Pay+Extra_Pay&lt;Beg_Bal),Beg_Bal-Princ,IF(Pay_Num&lt;&gt;"",0,""))</f>
        <v>0</v>
      </c>
      <c r="J152" s="70">
        <f>SUM($H$18:$H152)</f>
        <v>431201.75350020552</v>
      </c>
    </row>
    <row r="153" spans="1:10" x14ac:dyDescent="0.3">
      <c r="A153" s="36">
        <f>IF(Values_Entered,A152+1,"")</f>
        <v>136</v>
      </c>
      <c r="B153" s="35">
        <f>IF(Pay_Num&lt;&gt;"",DATE(YEAR(Loan_Start),MONTH(Loan_Start)+(Pay_Num)*12/Num_Pmt_Per_Year,DAY(Loan_Start)),"")</f>
        <v>58604</v>
      </c>
      <c r="C153" s="70">
        <f>IF(Pay_Num&lt;&gt;"",I152,"")</f>
        <v>0</v>
      </c>
      <c r="D153" s="70">
        <f>IF(Pay_Num&lt;&gt;"",Scheduled_Monthly_Payment,"")</f>
        <v>71560.087675010276</v>
      </c>
      <c r="E153" s="71">
        <f>IF(AND(Pay_Num&lt;&gt;"",Sched_Pay+Scheduled_Extra_Payments&lt;Beg_Bal),Scheduled_Extra_Payments,IF(AND(Pay_Num&lt;&gt;"",Beg_Bal-Sched_Pay&gt;0),Beg_Bal-Sched_Pay,IF(Pay_Num&lt;&gt;"",0,"")))</f>
        <v>0</v>
      </c>
      <c r="F153" s="70">
        <f>IF(AND(Pay_Num&lt;&gt;"",Sched_Pay+Extra_Pay&lt;Beg_Bal),Sched_Pay+Extra_Pay,IF(Pay_Num&lt;&gt;"",Beg_Bal,""))</f>
        <v>0</v>
      </c>
      <c r="G153" s="70">
        <f>IF(Pay_Num&lt;&gt;"",Total_Pay-Int,"")</f>
        <v>0</v>
      </c>
      <c r="H153" s="70">
        <f>IF(Pay_Num&lt;&gt;"",Beg_Bal*Interest_Rate/Num_Pmt_Per_Year,"")</f>
        <v>0</v>
      </c>
      <c r="I153" s="70">
        <f>IF(AND(Pay_Num&lt;&gt;"",Sched_Pay+Extra_Pay&lt;Beg_Bal),Beg_Bal-Princ,IF(Pay_Num&lt;&gt;"",0,""))</f>
        <v>0</v>
      </c>
      <c r="J153" s="70">
        <f>SUM($H$18:$H153)</f>
        <v>431201.75350020552</v>
      </c>
    </row>
    <row r="154" spans="1:10" x14ac:dyDescent="0.3">
      <c r="A154" s="36">
        <f>IF(Values_Entered,A153+1,"")</f>
        <v>137</v>
      </c>
      <c r="B154" s="35">
        <f>IF(Pay_Num&lt;&gt;"",DATE(YEAR(Loan_Start),MONTH(Loan_Start)+(Pay_Num)*12/Num_Pmt_Per_Year,DAY(Loan_Start)),"")</f>
        <v>58696</v>
      </c>
      <c r="C154" s="70">
        <f>IF(Pay_Num&lt;&gt;"",I153,"")</f>
        <v>0</v>
      </c>
      <c r="D154" s="70">
        <f>IF(Pay_Num&lt;&gt;"",Scheduled_Monthly_Payment,"")</f>
        <v>71560.087675010276</v>
      </c>
      <c r="E154" s="71">
        <f>IF(AND(Pay_Num&lt;&gt;"",Sched_Pay+Scheduled_Extra_Payments&lt;Beg_Bal),Scheduled_Extra_Payments,IF(AND(Pay_Num&lt;&gt;"",Beg_Bal-Sched_Pay&gt;0),Beg_Bal-Sched_Pay,IF(Pay_Num&lt;&gt;"",0,"")))</f>
        <v>0</v>
      </c>
      <c r="F154" s="70">
        <f>IF(AND(Pay_Num&lt;&gt;"",Sched_Pay+Extra_Pay&lt;Beg_Bal),Sched_Pay+Extra_Pay,IF(Pay_Num&lt;&gt;"",Beg_Bal,""))</f>
        <v>0</v>
      </c>
      <c r="G154" s="70">
        <f>IF(Pay_Num&lt;&gt;"",Total_Pay-Int,"")</f>
        <v>0</v>
      </c>
      <c r="H154" s="70">
        <f>IF(Pay_Num&lt;&gt;"",Beg_Bal*Interest_Rate/Num_Pmt_Per_Year,"")</f>
        <v>0</v>
      </c>
      <c r="I154" s="70">
        <f>IF(AND(Pay_Num&lt;&gt;"",Sched_Pay+Extra_Pay&lt;Beg_Bal),Beg_Bal-Princ,IF(Pay_Num&lt;&gt;"",0,""))</f>
        <v>0</v>
      </c>
      <c r="J154" s="70">
        <f>SUM($H$18:$H154)</f>
        <v>431201.75350020552</v>
      </c>
    </row>
    <row r="155" spans="1:10" x14ac:dyDescent="0.3">
      <c r="A155" s="36">
        <f>IF(Values_Entered,A154+1,"")</f>
        <v>138</v>
      </c>
      <c r="B155" s="35">
        <f>IF(Pay_Num&lt;&gt;"",DATE(YEAR(Loan_Start),MONTH(Loan_Start)+(Pay_Num)*12/Num_Pmt_Per_Year,DAY(Loan_Start)),"")</f>
        <v>58787</v>
      </c>
      <c r="C155" s="70">
        <f>IF(Pay_Num&lt;&gt;"",I154,"")</f>
        <v>0</v>
      </c>
      <c r="D155" s="70">
        <f>IF(Pay_Num&lt;&gt;"",Scheduled_Monthly_Payment,"")</f>
        <v>71560.087675010276</v>
      </c>
      <c r="E155" s="71">
        <f>IF(AND(Pay_Num&lt;&gt;"",Sched_Pay+Scheduled_Extra_Payments&lt;Beg_Bal),Scheduled_Extra_Payments,IF(AND(Pay_Num&lt;&gt;"",Beg_Bal-Sched_Pay&gt;0),Beg_Bal-Sched_Pay,IF(Pay_Num&lt;&gt;"",0,"")))</f>
        <v>0</v>
      </c>
      <c r="F155" s="70">
        <f>IF(AND(Pay_Num&lt;&gt;"",Sched_Pay+Extra_Pay&lt;Beg_Bal),Sched_Pay+Extra_Pay,IF(Pay_Num&lt;&gt;"",Beg_Bal,""))</f>
        <v>0</v>
      </c>
      <c r="G155" s="70">
        <f>IF(Pay_Num&lt;&gt;"",Total_Pay-Int,"")</f>
        <v>0</v>
      </c>
      <c r="H155" s="70">
        <f>IF(Pay_Num&lt;&gt;"",Beg_Bal*Interest_Rate/Num_Pmt_Per_Year,"")</f>
        <v>0</v>
      </c>
      <c r="I155" s="70">
        <f>IF(AND(Pay_Num&lt;&gt;"",Sched_Pay+Extra_Pay&lt;Beg_Bal),Beg_Bal-Princ,IF(Pay_Num&lt;&gt;"",0,""))</f>
        <v>0</v>
      </c>
      <c r="J155" s="70">
        <f>SUM($H$18:$H155)</f>
        <v>431201.75350020552</v>
      </c>
    </row>
    <row r="156" spans="1:10" x14ac:dyDescent="0.3">
      <c r="A156" s="36">
        <f>IF(Values_Entered,A155+1,"")</f>
        <v>139</v>
      </c>
      <c r="B156" s="35">
        <f>IF(Pay_Num&lt;&gt;"",DATE(YEAR(Loan_Start),MONTH(Loan_Start)+(Pay_Num)*12/Num_Pmt_Per_Year,DAY(Loan_Start)),"")</f>
        <v>58877</v>
      </c>
      <c r="C156" s="70">
        <f>IF(Pay_Num&lt;&gt;"",I155,"")</f>
        <v>0</v>
      </c>
      <c r="D156" s="70">
        <f>IF(Pay_Num&lt;&gt;"",Scheduled_Monthly_Payment,"")</f>
        <v>71560.087675010276</v>
      </c>
      <c r="E156" s="71">
        <f>IF(AND(Pay_Num&lt;&gt;"",Sched_Pay+Scheduled_Extra_Payments&lt;Beg_Bal),Scheduled_Extra_Payments,IF(AND(Pay_Num&lt;&gt;"",Beg_Bal-Sched_Pay&gt;0),Beg_Bal-Sched_Pay,IF(Pay_Num&lt;&gt;"",0,"")))</f>
        <v>0</v>
      </c>
      <c r="F156" s="70">
        <f>IF(AND(Pay_Num&lt;&gt;"",Sched_Pay+Extra_Pay&lt;Beg_Bal),Sched_Pay+Extra_Pay,IF(Pay_Num&lt;&gt;"",Beg_Bal,""))</f>
        <v>0</v>
      </c>
      <c r="G156" s="70">
        <f>IF(Pay_Num&lt;&gt;"",Total_Pay-Int,"")</f>
        <v>0</v>
      </c>
      <c r="H156" s="70">
        <f>IF(Pay_Num&lt;&gt;"",Beg_Bal*Interest_Rate/Num_Pmt_Per_Year,"")</f>
        <v>0</v>
      </c>
      <c r="I156" s="70">
        <f>IF(AND(Pay_Num&lt;&gt;"",Sched_Pay+Extra_Pay&lt;Beg_Bal),Beg_Bal-Princ,IF(Pay_Num&lt;&gt;"",0,""))</f>
        <v>0</v>
      </c>
      <c r="J156" s="70">
        <f>SUM($H$18:$H156)</f>
        <v>431201.75350020552</v>
      </c>
    </row>
    <row r="157" spans="1:10" x14ac:dyDescent="0.3">
      <c r="A157" s="36">
        <f>IF(Values_Entered,A156+1,"")</f>
        <v>140</v>
      </c>
      <c r="B157" s="35">
        <f>IF(Pay_Num&lt;&gt;"",DATE(YEAR(Loan_Start),MONTH(Loan_Start)+(Pay_Num)*12/Num_Pmt_Per_Year,DAY(Loan_Start)),"")</f>
        <v>58969</v>
      </c>
      <c r="C157" s="70">
        <f>IF(Pay_Num&lt;&gt;"",I156,"")</f>
        <v>0</v>
      </c>
      <c r="D157" s="70">
        <f>IF(Pay_Num&lt;&gt;"",Scheduled_Monthly_Payment,"")</f>
        <v>71560.087675010276</v>
      </c>
      <c r="E157" s="71">
        <f>IF(AND(Pay_Num&lt;&gt;"",Sched_Pay+Scheduled_Extra_Payments&lt;Beg_Bal),Scheduled_Extra_Payments,IF(AND(Pay_Num&lt;&gt;"",Beg_Bal-Sched_Pay&gt;0),Beg_Bal-Sched_Pay,IF(Pay_Num&lt;&gt;"",0,"")))</f>
        <v>0</v>
      </c>
      <c r="F157" s="70">
        <f>IF(AND(Pay_Num&lt;&gt;"",Sched_Pay+Extra_Pay&lt;Beg_Bal),Sched_Pay+Extra_Pay,IF(Pay_Num&lt;&gt;"",Beg_Bal,""))</f>
        <v>0</v>
      </c>
      <c r="G157" s="70">
        <f>IF(Pay_Num&lt;&gt;"",Total_Pay-Int,"")</f>
        <v>0</v>
      </c>
      <c r="H157" s="70">
        <f>IF(Pay_Num&lt;&gt;"",Beg_Bal*Interest_Rate/Num_Pmt_Per_Year,"")</f>
        <v>0</v>
      </c>
      <c r="I157" s="70">
        <f>IF(AND(Pay_Num&lt;&gt;"",Sched_Pay+Extra_Pay&lt;Beg_Bal),Beg_Bal-Princ,IF(Pay_Num&lt;&gt;"",0,""))</f>
        <v>0</v>
      </c>
      <c r="J157" s="70">
        <f>SUM($H$18:$H157)</f>
        <v>431201.75350020552</v>
      </c>
    </row>
    <row r="158" spans="1:10" x14ac:dyDescent="0.3">
      <c r="A158" s="36">
        <f>IF(Values_Entered,A157+1,"")</f>
        <v>141</v>
      </c>
      <c r="B158" s="35">
        <f>IF(Pay_Num&lt;&gt;"",DATE(YEAR(Loan_Start),MONTH(Loan_Start)+(Pay_Num)*12/Num_Pmt_Per_Year,DAY(Loan_Start)),"")</f>
        <v>59061</v>
      </c>
      <c r="C158" s="70">
        <f>IF(Pay_Num&lt;&gt;"",I157,"")</f>
        <v>0</v>
      </c>
      <c r="D158" s="70">
        <f>IF(Pay_Num&lt;&gt;"",Scheduled_Monthly_Payment,"")</f>
        <v>71560.087675010276</v>
      </c>
      <c r="E158" s="71">
        <f>IF(AND(Pay_Num&lt;&gt;"",Sched_Pay+Scheduled_Extra_Payments&lt;Beg_Bal),Scheduled_Extra_Payments,IF(AND(Pay_Num&lt;&gt;"",Beg_Bal-Sched_Pay&gt;0),Beg_Bal-Sched_Pay,IF(Pay_Num&lt;&gt;"",0,"")))</f>
        <v>0</v>
      </c>
      <c r="F158" s="70">
        <f>IF(AND(Pay_Num&lt;&gt;"",Sched_Pay+Extra_Pay&lt;Beg_Bal),Sched_Pay+Extra_Pay,IF(Pay_Num&lt;&gt;"",Beg_Bal,""))</f>
        <v>0</v>
      </c>
      <c r="G158" s="70">
        <f>IF(Pay_Num&lt;&gt;"",Total_Pay-Int,"")</f>
        <v>0</v>
      </c>
      <c r="H158" s="70">
        <f>IF(Pay_Num&lt;&gt;"",Beg_Bal*Interest_Rate/Num_Pmt_Per_Year,"")</f>
        <v>0</v>
      </c>
      <c r="I158" s="70">
        <f>IF(AND(Pay_Num&lt;&gt;"",Sched_Pay+Extra_Pay&lt;Beg_Bal),Beg_Bal-Princ,IF(Pay_Num&lt;&gt;"",0,""))</f>
        <v>0</v>
      </c>
      <c r="J158" s="70">
        <f>SUM($H$18:$H158)</f>
        <v>431201.75350020552</v>
      </c>
    </row>
    <row r="159" spans="1:10" x14ac:dyDescent="0.3">
      <c r="A159" s="36">
        <f>IF(Values_Entered,A158+1,"")</f>
        <v>142</v>
      </c>
      <c r="B159" s="35">
        <f>IF(Pay_Num&lt;&gt;"",DATE(YEAR(Loan_Start),MONTH(Loan_Start)+(Pay_Num)*12/Num_Pmt_Per_Year,DAY(Loan_Start)),"")</f>
        <v>59152</v>
      </c>
      <c r="C159" s="70">
        <f>IF(Pay_Num&lt;&gt;"",I158,"")</f>
        <v>0</v>
      </c>
      <c r="D159" s="70">
        <f>IF(Pay_Num&lt;&gt;"",Scheduled_Monthly_Payment,"")</f>
        <v>71560.087675010276</v>
      </c>
      <c r="E159" s="71">
        <f>IF(AND(Pay_Num&lt;&gt;"",Sched_Pay+Scheduled_Extra_Payments&lt;Beg_Bal),Scheduled_Extra_Payments,IF(AND(Pay_Num&lt;&gt;"",Beg_Bal-Sched_Pay&gt;0),Beg_Bal-Sched_Pay,IF(Pay_Num&lt;&gt;"",0,"")))</f>
        <v>0</v>
      </c>
      <c r="F159" s="70">
        <f>IF(AND(Pay_Num&lt;&gt;"",Sched_Pay+Extra_Pay&lt;Beg_Bal),Sched_Pay+Extra_Pay,IF(Pay_Num&lt;&gt;"",Beg_Bal,""))</f>
        <v>0</v>
      </c>
      <c r="G159" s="70">
        <f>IF(Pay_Num&lt;&gt;"",Total_Pay-Int,"")</f>
        <v>0</v>
      </c>
      <c r="H159" s="70">
        <f>IF(Pay_Num&lt;&gt;"",Beg_Bal*Interest_Rate/Num_Pmt_Per_Year,"")</f>
        <v>0</v>
      </c>
      <c r="I159" s="70">
        <f>IF(AND(Pay_Num&lt;&gt;"",Sched_Pay+Extra_Pay&lt;Beg_Bal),Beg_Bal-Princ,IF(Pay_Num&lt;&gt;"",0,""))</f>
        <v>0</v>
      </c>
      <c r="J159" s="70">
        <f>SUM($H$18:$H159)</f>
        <v>431201.75350020552</v>
      </c>
    </row>
    <row r="160" spans="1:10" x14ac:dyDescent="0.3">
      <c r="A160" s="36">
        <f>IF(Values_Entered,A159+1,"")</f>
        <v>143</v>
      </c>
      <c r="B160" s="35">
        <f>IF(Pay_Num&lt;&gt;"",DATE(YEAR(Loan_Start),MONTH(Loan_Start)+(Pay_Num)*12/Num_Pmt_Per_Year,DAY(Loan_Start)),"")</f>
        <v>59242</v>
      </c>
      <c r="C160" s="70">
        <f>IF(Pay_Num&lt;&gt;"",I159,"")</f>
        <v>0</v>
      </c>
      <c r="D160" s="70">
        <f>IF(Pay_Num&lt;&gt;"",Scheduled_Monthly_Payment,"")</f>
        <v>71560.087675010276</v>
      </c>
      <c r="E160" s="71">
        <f>IF(AND(Pay_Num&lt;&gt;"",Sched_Pay+Scheduled_Extra_Payments&lt;Beg_Bal),Scheduled_Extra_Payments,IF(AND(Pay_Num&lt;&gt;"",Beg_Bal-Sched_Pay&gt;0),Beg_Bal-Sched_Pay,IF(Pay_Num&lt;&gt;"",0,"")))</f>
        <v>0</v>
      </c>
      <c r="F160" s="70">
        <f>IF(AND(Pay_Num&lt;&gt;"",Sched_Pay+Extra_Pay&lt;Beg_Bal),Sched_Pay+Extra_Pay,IF(Pay_Num&lt;&gt;"",Beg_Bal,""))</f>
        <v>0</v>
      </c>
      <c r="G160" s="70">
        <f>IF(Pay_Num&lt;&gt;"",Total_Pay-Int,"")</f>
        <v>0</v>
      </c>
      <c r="H160" s="70">
        <f>IF(Pay_Num&lt;&gt;"",Beg_Bal*Interest_Rate/Num_Pmt_Per_Year,"")</f>
        <v>0</v>
      </c>
      <c r="I160" s="70">
        <f>IF(AND(Pay_Num&lt;&gt;"",Sched_Pay+Extra_Pay&lt;Beg_Bal),Beg_Bal-Princ,IF(Pay_Num&lt;&gt;"",0,""))</f>
        <v>0</v>
      </c>
      <c r="J160" s="70">
        <f>SUM($H$18:$H160)</f>
        <v>431201.75350020552</v>
      </c>
    </row>
    <row r="161" spans="1:10" x14ac:dyDescent="0.3">
      <c r="A161" s="36">
        <f>IF(Values_Entered,A160+1,"")</f>
        <v>144</v>
      </c>
      <c r="B161" s="35">
        <f>IF(Pay_Num&lt;&gt;"",DATE(YEAR(Loan_Start),MONTH(Loan_Start)+(Pay_Num)*12/Num_Pmt_Per_Year,DAY(Loan_Start)),"")</f>
        <v>59334</v>
      </c>
      <c r="C161" s="70">
        <f>IF(Pay_Num&lt;&gt;"",I160,"")</f>
        <v>0</v>
      </c>
      <c r="D161" s="70">
        <f>IF(Pay_Num&lt;&gt;"",Scheduled_Monthly_Payment,"")</f>
        <v>71560.087675010276</v>
      </c>
      <c r="E161" s="71">
        <f>IF(AND(Pay_Num&lt;&gt;"",Sched_Pay+Scheduled_Extra_Payments&lt;Beg_Bal),Scheduled_Extra_Payments,IF(AND(Pay_Num&lt;&gt;"",Beg_Bal-Sched_Pay&gt;0),Beg_Bal-Sched_Pay,IF(Pay_Num&lt;&gt;"",0,"")))</f>
        <v>0</v>
      </c>
      <c r="F161" s="70">
        <f>IF(AND(Pay_Num&lt;&gt;"",Sched_Pay+Extra_Pay&lt;Beg_Bal),Sched_Pay+Extra_Pay,IF(Pay_Num&lt;&gt;"",Beg_Bal,""))</f>
        <v>0</v>
      </c>
      <c r="G161" s="70">
        <f>IF(Pay_Num&lt;&gt;"",Total_Pay-Int,"")</f>
        <v>0</v>
      </c>
      <c r="H161" s="70">
        <f>IF(Pay_Num&lt;&gt;"",Beg_Bal*Interest_Rate/Num_Pmt_Per_Year,"")</f>
        <v>0</v>
      </c>
      <c r="I161" s="70">
        <f>IF(AND(Pay_Num&lt;&gt;"",Sched_Pay+Extra_Pay&lt;Beg_Bal),Beg_Bal-Princ,IF(Pay_Num&lt;&gt;"",0,""))</f>
        <v>0</v>
      </c>
      <c r="J161" s="70">
        <f>SUM($H$18:$H161)</f>
        <v>431201.75350020552</v>
      </c>
    </row>
    <row r="162" spans="1:10" x14ac:dyDescent="0.3">
      <c r="A162" s="36">
        <f>IF(Values_Entered,A161+1,"")</f>
        <v>145</v>
      </c>
      <c r="B162" s="35">
        <f>IF(Pay_Num&lt;&gt;"",DATE(YEAR(Loan_Start),MONTH(Loan_Start)+(Pay_Num)*12/Num_Pmt_Per_Year,DAY(Loan_Start)),"")</f>
        <v>59426</v>
      </c>
      <c r="C162" s="70">
        <f>IF(Pay_Num&lt;&gt;"",I161,"")</f>
        <v>0</v>
      </c>
      <c r="D162" s="70">
        <f>IF(Pay_Num&lt;&gt;"",Scheduled_Monthly_Payment,"")</f>
        <v>71560.087675010276</v>
      </c>
      <c r="E162" s="71">
        <f>IF(AND(Pay_Num&lt;&gt;"",Sched_Pay+Scheduled_Extra_Payments&lt;Beg_Bal),Scheduled_Extra_Payments,IF(AND(Pay_Num&lt;&gt;"",Beg_Bal-Sched_Pay&gt;0),Beg_Bal-Sched_Pay,IF(Pay_Num&lt;&gt;"",0,"")))</f>
        <v>0</v>
      </c>
      <c r="F162" s="70">
        <f>IF(AND(Pay_Num&lt;&gt;"",Sched_Pay+Extra_Pay&lt;Beg_Bal),Sched_Pay+Extra_Pay,IF(Pay_Num&lt;&gt;"",Beg_Bal,""))</f>
        <v>0</v>
      </c>
      <c r="G162" s="70">
        <f>IF(Pay_Num&lt;&gt;"",Total_Pay-Int,"")</f>
        <v>0</v>
      </c>
      <c r="H162" s="70">
        <f>IF(Pay_Num&lt;&gt;"",Beg_Bal*Interest_Rate/Num_Pmt_Per_Year,"")</f>
        <v>0</v>
      </c>
      <c r="I162" s="70">
        <f>IF(AND(Pay_Num&lt;&gt;"",Sched_Pay+Extra_Pay&lt;Beg_Bal),Beg_Bal-Princ,IF(Pay_Num&lt;&gt;"",0,""))</f>
        <v>0</v>
      </c>
      <c r="J162" s="70">
        <f>SUM($H$18:$H162)</f>
        <v>431201.75350020552</v>
      </c>
    </row>
    <row r="163" spans="1:10" x14ac:dyDescent="0.3">
      <c r="A163" s="36">
        <f>IF(Values_Entered,A162+1,"")</f>
        <v>146</v>
      </c>
      <c r="B163" s="35">
        <f>IF(Pay_Num&lt;&gt;"",DATE(YEAR(Loan_Start),MONTH(Loan_Start)+(Pay_Num)*12/Num_Pmt_Per_Year,DAY(Loan_Start)),"")</f>
        <v>59517</v>
      </c>
      <c r="C163" s="70">
        <f>IF(Pay_Num&lt;&gt;"",I162,"")</f>
        <v>0</v>
      </c>
      <c r="D163" s="70">
        <f>IF(Pay_Num&lt;&gt;"",Scheduled_Monthly_Payment,"")</f>
        <v>71560.087675010276</v>
      </c>
      <c r="E163" s="71">
        <f>IF(AND(Pay_Num&lt;&gt;"",Sched_Pay+Scheduled_Extra_Payments&lt;Beg_Bal),Scheduled_Extra_Payments,IF(AND(Pay_Num&lt;&gt;"",Beg_Bal-Sched_Pay&gt;0),Beg_Bal-Sched_Pay,IF(Pay_Num&lt;&gt;"",0,"")))</f>
        <v>0</v>
      </c>
      <c r="F163" s="70">
        <f>IF(AND(Pay_Num&lt;&gt;"",Sched_Pay+Extra_Pay&lt;Beg_Bal),Sched_Pay+Extra_Pay,IF(Pay_Num&lt;&gt;"",Beg_Bal,""))</f>
        <v>0</v>
      </c>
      <c r="G163" s="70">
        <f>IF(Pay_Num&lt;&gt;"",Total_Pay-Int,"")</f>
        <v>0</v>
      </c>
      <c r="H163" s="70">
        <f>IF(Pay_Num&lt;&gt;"",Beg_Bal*Interest_Rate/Num_Pmt_Per_Year,"")</f>
        <v>0</v>
      </c>
      <c r="I163" s="70">
        <f>IF(AND(Pay_Num&lt;&gt;"",Sched_Pay+Extra_Pay&lt;Beg_Bal),Beg_Bal-Princ,IF(Pay_Num&lt;&gt;"",0,""))</f>
        <v>0</v>
      </c>
      <c r="J163" s="70">
        <f>SUM($H$18:$H163)</f>
        <v>431201.75350020552</v>
      </c>
    </row>
    <row r="164" spans="1:10" x14ac:dyDescent="0.3">
      <c r="A164" s="36">
        <f>IF(Values_Entered,A163+1,"")</f>
        <v>147</v>
      </c>
      <c r="B164" s="35">
        <f>IF(Pay_Num&lt;&gt;"",DATE(YEAR(Loan_Start),MONTH(Loan_Start)+(Pay_Num)*12/Num_Pmt_Per_Year,DAY(Loan_Start)),"")</f>
        <v>59607</v>
      </c>
      <c r="C164" s="70">
        <f>IF(Pay_Num&lt;&gt;"",I163,"")</f>
        <v>0</v>
      </c>
      <c r="D164" s="70">
        <f>IF(Pay_Num&lt;&gt;"",Scheduled_Monthly_Payment,"")</f>
        <v>71560.087675010276</v>
      </c>
      <c r="E164" s="71">
        <f>IF(AND(Pay_Num&lt;&gt;"",Sched_Pay+Scheduled_Extra_Payments&lt;Beg_Bal),Scheduled_Extra_Payments,IF(AND(Pay_Num&lt;&gt;"",Beg_Bal-Sched_Pay&gt;0),Beg_Bal-Sched_Pay,IF(Pay_Num&lt;&gt;"",0,"")))</f>
        <v>0</v>
      </c>
      <c r="F164" s="70">
        <f>IF(AND(Pay_Num&lt;&gt;"",Sched_Pay+Extra_Pay&lt;Beg_Bal),Sched_Pay+Extra_Pay,IF(Pay_Num&lt;&gt;"",Beg_Bal,""))</f>
        <v>0</v>
      </c>
      <c r="G164" s="70">
        <f>IF(Pay_Num&lt;&gt;"",Total_Pay-Int,"")</f>
        <v>0</v>
      </c>
      <c r="H164" s="70">
        <f>IF(Pay_Num&lt;&gt;"",Beg_Bal*Interest_Rate/Num_Pmt_Per_Year,"")</f>
        <v>0</v>
      </c>
      <c r="I164" s="70">
        <f>IF(AND(Pay_Num&lt;&gt;"",Sched_Pay+Extra_Pay&lt;Beg_Bal),Beg_Bal-Princ,IF(Pay_Num&lt;&gt;"",0,""))</f>
        <v>0</v>
      </c>
      <c r="J164" s="70">
        <f>SUM($H$18:$H164)</f>
        <v>431201.75350020552</v>
      </c>
    </row>
    <row r="165" spans="1:10" x14ac:dyDescent="0.3">
      <c r="A165" s="36">
        <f>IF(Values_Entered,A164+1,"")</f>
        <v>148</v>
      </c>
      <c r="B165" s="35">
        <f>IF(Pay_Num&lt;&gt;"",DATE(YEAR(Loan_Start),MONTH(Loan_Start)+(Pay_Num)*12/Num_Pmt_Per_Year,DAY(Loan_Start)),"")</f>
        <v>59699</v>
      </c>
      <c r="C165" s="70">
        <f>IF(Pay_Num&lt;&gt;"",I164,"")</f>
        <v>0</v>
      </c>
      <c r="D165" s="70">
        <f>IF(Pay_Num&lt;&gt;"",Scheduled_Monthly_Payment,"")</f>
        <v>71560.087675010276</v>
      </c>
      <c r="E165" s="71">
        <f>IF(AND(Pay_Num&lt;&gt;"",Sched_Pay+Scheduled_Extra_Payments&lt;Beg_Bal),Scheduled_Extra_Payments,IF(AND(Pay_Num&lt;&gt;"",Beg_Bal-Sched_Pay&gt;0),Beg_Bal-Sched_Pay,IF(Pay_Num&lt;&gt;"",0,"")))</f>
        <v>0</v>
      </c>
      <c r="F165" s="70">
        <f>IF(AND(Pay_Num&lt;&gt;"",Sched_Pay+Extra_Pay&lt;Beg_Bal),Sched_Pay+Extra_Pay,IF(Pay_Num&lt;&gt;"",Beg_Bal,""))</f>
        <v>0</v>
      </c>
      <c r="G165" s="70">
        <f>IF(Pay_Num&lt;&gt;"",Total_Pay-Int,"")</f>
        <v>0</v>
      </c>
      <c r="H165" s="70">
        <f>IF(Pay_Num&lt;&gt;"",Beg_Bal*Interest_Rate/Num_Pmt_Per_Year,"")</f>
        <v>0</v>
      </c>
      <c r="I165" s="70">
        <f>IF(AND(Pay_Num&lt;&gt;"",Sched_Pay+Extra_Pay&lt;Beg_Bal),Beg_Bal-Princ,IF(Pay_Num&lt;&gt;"",0,""))</f>
        <v>0</v>
      </c>
      <c r="J165" s="70">
        <f>SUM($H$18:$H165)</f>
        <v>431201.75350020552</v>
      </c>
    </row>
    <row r="166" spans="1:10" x14ac:dyDescent="0.3">
      <c r="A166" s="36">
        <f>IF(Values_Entered,A165+1,"")</f>
        <v>149</v>
      </c>
      <c r="B166" s="35">
        <f>IF(Pay_Num&lt;&gt;"",DATE(YEAR(Loan_Start),MONTH(Loan_Start)+(Pay_Num)*12/Num_Pmt_Per_Year,DAY(Loan_Start)),"")</f>
        <v>59791</v>
      </c>
      <c r="C166" s="70">
        <f>IF(Pay_Num&lt;&gt;"",I165,"")</f>
        <v>0</v>
      </c>
      <c r="D166" s="70">
        <f>IF(Pay_Num&lt;&gt;"",Scheduled_Monthly_Payment,"")</f>
        <v>71560.087675010276</v>
      </c>
      <c r="E166" s="71">
        <f>IF(AND(Pay_Num&lt;&gt;"",Sched_Pay+Scheduled_Extra_Payments&lt;Beg_Bal),Scheduled_Extra_Payments,IF(AND(Pay_Num&lt;&gt;"",Beg_Bal-Sched_Pay&gt;0),Beg_Bal-Sched_Pay,IF(Pay_Num&lt;&gt;"",0,"")))</f>
        <v>0</v>
      </c>
      <c r="F166" s="70">
        <f>IF(AND(Pay_Num&lt;&gt;"",Sched_Pay+Extra_Pay&lt;Beg_Bal),Sched_Pay+Extra_Pay,IF(Pay_Num&lt;&gt;"",Beg_Bal,""))</f>
        <v>0</v>
      </c>
      <c r="G166" s="70">
        <f>IF(Pay_Num&lt;&gt;"",Total_Pay-Int,"")</f>
        <v>0</v>
      </c>
      <c r="H166" s="70">
        <f>IF(Pay_Num&lt;&gt;"",Beg_Bal*Interest_Rate/Num_Pmt_Per_Year,"")</f>
        <v>0</v>
      </c>
      <c r="I166" s="70">
        <f>IF(AND(Pay_Num&lt;&gt;"",Sched_Pay+Extra_Pay&lt;Beg_Bal),Beg_Bal-Princ,IF(Pay_Num&lt;&gt;"",0,""))</f>
        <v>0</v>
      </c>
      <c r="J166" s="70">
        <f>SUM($H$18:$H166)</f>
        <v>431201.75350020552</v>
      </c>
    </row>
    <row r="167" spans="1:10" x14ac:dyDescent="0.3">
      <c r="A167" s="36">
        <f>IF(Values_Entered,A166+1,"")</f>
        <v>150</v>
      </c>
      <c r="B167" s="35">
        <f>IF(Pay_Num&lt;&gt;"",DATE(YEAR(Loan_Start),MONTH(Loan_Start)+(Pay_Num)*12/Num_Pmt_Per_Year,DAY(Loan_Start)),"")</f>
        <v>59882</v>
      </c>
      <c r="C167" s="70">
        <f>IF(Pay_Num&lt;&gt;"",I166,"")</f>
        <v>0</v>
      </c>
      <c r="D167" s="70">
        <f>IF(Pay_Num&lt;&gt;"",Scheduled_Monthly_Payment,"")</f>
        <v>71560.087675010276</v>
      </c>
      <c r="E167" s="71">
        <f>IF(AND(Pay_Num&lt;&gt;"",Sched_Pay+Scheduled_Extra_Payments&lt;Beg_Bal),Scheduled_Extra_Payments,IF(AND(Pay_Num&lt;&gt;"",Beg_Bal-Sched_Pay&gt;0),Beg_Bal-Sched_Pay,IF(Pay_Num&lt;&gt;"",0,"")))</f>
        <v>0</v>
      </c>
      <c r="F167" s="70">
        <f>IF(AND(Pay_Num&lt;&gt;"",Sched_Pay+Extra_Pay&lt;Beg_Bal),Sched_Pay+Extra_Pay,IF(Pay_Num&lt;&gt;"",Beg_Bal,""))</f>
        <v>0</v>
      </c>
      <c r="G167" s="70">
        <f>IF(Pay_Num&lt;&gt;"",Total_Pay-Int,"")</f>
        <v>0</v>
      </c>
      <c r="H167" s="70">
        <f>IF(Pay_Num&lt;&gt;"",Beg_Bal*Interest_Rate/Num_Pmt_Per_Year,"")</f>
        <v>0</v>
      </c>
      <c r="I167" s="70">
        <f>IF(AND(Pay_Num&lt;&gt;"",Sched_Pay+Extra_Pay&lt;Beg_Bal),Beg_Bal-Princ,IF(Pay_Num&lt;&gt;"",0,""))</f>
        <v>0</v>
      </c>
      <c r="J167" s="70">
        <f>SUM($H$18:$H167)</f>
        <v>431201.75350020552</v>
      </c>
    </row>
    <row r="168" spans="1:10" x14ac:dyDescent="0.3">
      <c r="A168" s="36">
        <f>IF(Values_Entered,A167+1,"")</f>
        <v>151</v>
      </c>
      <c r="B168" s="35">
        <f>IF(Pay_Num&lt;&gt;"",DATE(YEAR(Loan_Start),MONTH(Loan_Start)+(Pay_Num)*12/Num_Pmt_Per_Year,DAY(Loan_Start)),"")</f>
        <v>59973</v>
      </c>
      <c r="C168" s="70">
        <f>IF(Pay_Num&lt;&gt;"",I167,"")</f>
        <v>0</v>
      </c>
      <c r="D168" s="70">
        <f>IF(Pay_Num&lt;&gt;"",Scheduled_Monthly_Payment,"")</f>
        <v>71560.087675010276</v>
      </c>
      <c r="E168" s="71">
        <f>IF(AND(Pay_Num&lt;&gt;"",Sched_Pay+Scheduled_Extra_Payments&lt;Beg_Bal),Scheduled_Extra_Payments,IF(AND(Pay_Num&lt;&gt;"",Beg_Bal-Sched_Pay&gt;0),Beg_Bal-Sched_Pay,IF(Pay_Num&lt;&gt;"",0,"")))</f>
        <v>0</v>
      </c>
      <c r="F168" s="70">
        <f>IF(AND(Pay_Num&lt;&gt;"",Sched_Pay+Extra_Pay&lt;Beg_Bal),Sched_Pay+Extra_Pay,IF(Pay_Num&lt;&gt;"",Beg_Bal,""))</f>
        <v>0</v>
      </c>
      <c r="G168" s="70">
        <f>IF(Pay_Num&lt;&gt;"",Total_Pay-Int,"")</f>
        <v>0</v>
      </c>
      <c r="H168" s="70">
        <f>IF(Pay_Num&lt;&gt;"",Beg_Bal*Interest_Rate/Num_Pmt_Per_Year,"")</f>
        <v>0</v>
      </c>
      <c r="I168" s="70">
        <f>IF(AND(Pay_Num&lt;&gt;"",Sched_Pay+Extra_Pay&lt;Beg_Bal),Beg_Bal-Princ,IF(Pay_Num&lt;&gt;"",0,""))</f>
        <v>0</v>
      </c>
      <c r="J168" s="70">
        <f>SUM($H$18:$H168)</f>
        <v>431201.75350020552</v>
      </c>
    </row>
    <row r="169" spans="1:10" x14ac:dyDescent="0.3">
      <c r="A169" s="36">
        <f>IF(Values_Entered,A168+1,"")</f>
        <v>152</v>
      </c>
      <c r="B169" s="35">
        <f>IF(Pay_Num&lt;&gt;"",DATE(YEAR(Loan_Start),MONTH(Loan_Start)+(Pay_Num)*12/Num_Pmt_Per_Year,DAY(Loan_Start)),"")</f>
        <v>60065</v>
      </c>
      <c r="C169" s="70">
        <f>IF(Pay_Num&lt;&gt;"",I168,"")</f>
        <v>0</v>
      </c>
      <c r="D169" s="70">
        <f>IF(Pay_Num&lt;&gt;"",Scheduled_Monthly_Payment,"")</f>
        <v>71560.087675010276</v>
      </c>
      <c r="E169" s="71">
        <f>IF(AND(Pay_Num&lt;&gt;"",Sched_Pay+Scheduled_Extra_Payments&lt;Beg_Bal),Scheduled_Extra_Payments,IF(AND(Pay_Num&lt;&gt;"",Beg_Bal-Sched_Pay&gt;0),Beg_Bal-Sched_Pay,IF(Pay_Num&lt;&gt;"",0,"")))</f>
        <v>0</v>
      </c>
      <c r="F169" s="70">
        <f>IF(AND(Pay_Num&lt;&gt;"",Sched_Pay+Extra_Pay&lt;Beg_Bal),Sched_Pay+Extra_Pay,IF(Pay_Num&lt;&gt;"",Beg_Bal,""))</f>
        <v>0</v>
      </c>
      <c r="G169" s="70">
        <f>IF(Pay_Num&lt;&gt;"",Total_Pay-Int,"")</f>
        <v>0</v>
      </c>
      <c r="H169" s="70">
        <f>IF(Pay_Num&lt;&gt;"",Beg_Bal*Interest_Rate/Num_Pmt_Per_Year,"")</f>
        <v>0</v>
      </c>
      <c r="I169" s="70">
        <f>IF(AND(Pay_Num&lt;&gt;"",Sched_Pay+Extra_Pay&lt;Beg_Bal),Beg_Bal-Princ,IF(Pay_Num&lt;&gt;"",0,""))</f>
        <v>0</v>
      </c>
      <c r="J169" s="70">
        <f>SUM($H$18:$H169)</f>
        <v>431201.75350020552</v>
      </c>
    </row>
    <row r="170" spans="1:10" x14ac:dyDescent="0.3">
      <c r="A170" s="36">
        <f>IF(Values_Entered,A169+1,"")</f>
        <v>153</v>
      </c>
      <c r="B170" s="35">
        <f>IF(Pay_Num&lt;&gt;"",DATE(YEAR(Loan_Start),MONTH(Loan_Start)+(Pay_Num)*12/Num_Pmt_Per_Year,DAY(Loan_Start)),"")</f>
        <v>60157</v>
      </c>
      <c r="C170" s="70">
        <f>IF(Pay_Num&lt;&gt;"",I169,"")</f>
        <v>0</v>
      </c>
      <c r="D170" s="70">
        <f>IF(Pay_Num&lt;&gt;"",Scheduled_Monthly_Payment,"")</f>
        <v>71560.087675010276</v>
      </c>
      <c r="E170" s="71">
        <f>IF(AND(Pay_Num&lt;&gt;"",Sched_Pay+Scheduled_Extra_Payments&lt;Beg_Bal),Scheduled_Extra_Payments,IF(AND(Pay_Num&lt;&gt;"",Beg_Bal-Sched_Pay&gt;0),Beg_Bal-Sched_Pay,IF(Pay_Num&lt;&gt;"",0,"")))</f>
        <v>0</v>
      </c>
      <c r="F170" s="70">
        <f>IF(AND(Pay_Num&lt;&gt;"",Sched_Pay+Extra_Pay&lt;Beg_Bal),Sched_Pay+Extra_Pay,IF(Pay_Num&lt;&gt;"",Beg_Bal,""))</f>
        <v>0</v>
      </c>
      <c r="G170" s="70">
        <f>IF(Pay_Num&lt;&gt;"",Total_Pay-Int,"")</f>
        <v>0</v>
      </c>
      <c r="H170" s="70">
        <f>IF(Pay_Num&lt;&gt;"",Beg_Bal*Interest_Rate/Num_Pmt_Per_Year,"")</f>
        <v>0</v>
      </c>
      <c r="I170" s="70">
        <f>IF(AND(Pay_Num&lt;&gt;"",Sched_Pay+Extra_Pay&lt;Beg_Bal),Beg_Bal-Princ,IF(Pay_Num&lt;&gt;"",0,""))</f>
        <v>0</v>
      </c>
      <c r="J170" s="70">
        <f>SUM($H$18:$H170)</f>
        <v>431201.75350020552</v>
      </c>
    </row>
    <row r="171" spans="1:10" x14ac:dyDescent="0.3">
      <c r="A171" s="36">
        <f>IF(Values_Entered,A170+1,"")</f>
        <v>154</v>
      </c>
      <c r="B171" s="35">
        <f>IF(Pay_Num&lt;&gt;"",DATE(YEAR(Loan_Start),MONTH(Loan_Start)+(Pay_Num)*12/Num_Pmt_Per_Year,DAY(Loan_Start)),"")</f>
        <v>60248</v>
      </c>
      <c r="C171" s="70">
        <f>IF(Pay_Num&lt;&gt;"",I170,"")</f>
        <v>0</v>
      </c>
      <c r="D171" s="70">
        <f>IF(Pay_Num&lt;&gt;"",Scheduled_Monthly_Payment,"")</f>
        <v>71560.087675010276</v>
      </c>
      <c r="E171" s="71">
        <f>IF(AND(Pay_Num&lt;&gt;"",Sched_Pay+Scheduled_Extra_Payments&lt;Beg_Bal),Scheduled_Extra_Payments,IF(AND(Pay_Num&lt;&gt;"",Beg_Bal-Sched_Pay&gt;0),Beg_Bal-Sched_Pay,IF(Pay_Num&lt;&gt;"",0,"")))</f>
        <v>0</v>
      </c>
      <c r="F171" s="70">
        <f>IF(AND(Pay_Num&lt;&gt;"",Sched_Pay+Extra_Pay&lt;Beg_Bal),Sched_Pay+Extra_Pay,IF(Pay_Num&lt;&gt;"",Beg_Bal,""))</f>
        <v>0</v>
      </c>
      <c r="G171" s="70">
        <f>IF(Pay_Num&lt;&gt;"",Total_Pay-Int,"")</f>
        <v>0</v>
      </c>
      <c r="H171" s="70">
        <f>IF(Pay_Num&lt;&gt;"",Beg_Bal*Interest_Rate/Num_Pmt_Per_Year,"")</f>
        <v>0</v>
      </c>
      <c r="I171" s="70">
        <f>IF(AND(Pay_Num&lt;&gt;"",Sched_Pay+Extra_Pay&lt;Beg_Bal),Beg_Bal-Princ,IF(Pay_Num&lt;&gt;"",0,""))</f>
        <v>0</v>
      </c>
      <c r="J171" s="70">
        <f>SUM($H$18:$H171)</f>
        <v>431201.75350020552</v>
      </c>
    </row>
    <row r="172" spans="1:10" x14ac:dyDescent="0.3">
      <c r="A172" s="36">
        <f>IF(Values_Entered,A171+1,"")</f>
        <v>155</v>
      </c>
      <c r="B172" s="35">
        <f>IF(Pay_Num&lt;&gt;"",DATE(YEAR(Loan_Start),MONTH(Loan_Start)+(Pay_Num)*12/Num_Pmt_Per_Year,DAY(Loan_Start)),"")</f>
        <v>60338</v>
      </c>
      <c r="C172" s="70">
        <f>IF(Pay_Num&lt;&gt;"",I171,"")</f>
        <v>0</v>
      </c>
      <c r="D172" s="70">
        <f>IF(Pay_Num&lt;&gt;"",Scheduled_Monthly_Payment,"")</f>
        <v>71560.087675010276</v>
      </c>
      <c r="E172" s="71">
        <f>IF(AND(Pay_Num&lt;&gt;"",Sched_Pay+Scheduled_Extra_Payments&lt;Beg_Bal),Scheduled_Extra_Payments,IF(AND(Pay_Num&lt;&gt;"",Beg_Bal-Sched_Pay&gt;0),Beg_Bal-Sched_Pay,IF(Pay_Num&lt;&gt;"",0,"")))</f>
        <v>0</v>
      </c>
      <c r="F172" s="70">
        <f>IF(AND(Pay_Num&lt;&gt;"",Sched_Pay+Extra_Pay&lt;Beg_Bal),Sched_Pay+Extra_Pay,IF(Pay_Num&lt;&gt;"",Beg_Bal,""))</f>
        <v>0</v>
      </c>
      <c r="G172" s="70">
        <f>IF(Pay_Num&lt;&gt;"",Total_Pay-Int,"")</f>
        <v>0</v>
      </c>
      <c r="H172" s="70">
        <f>IF(Pay_Num&lt;&gt;"",Beg_Bal*Interest_Rate/Num_Pmt_Per_Year,"")</f>
        <v>0</v>
      </c>
      <c r="I172" s="70">
        <f>IF(AND(Pay_Num&lt;&gt;"",Sched_Pay+Extra_Pay&lt;Beg_Bal),Beg_Bal-Princ,IF(Pay_Num&lt;&gt;"",0,""))</f>
        <v>0</v>
      </c>
      <c r="J172" s="70">
        <f>SUM($H$18:$H172)</f>
        <v>431201.75350020552</v>
      </c>
    </row>
    <row r="173" spans="1:10" x14ac:dyDescent="0.3">
      <c r="A173" s="36">
        <f>IF(Values_Entered,A172+1,"")</f>
        <v>156</v>
      </c>
      <c r="B173" s="35">
        <f>IF(Pay_Num&lt;&gt;"",DATE(YEAR(Loan_Start),MONTH(Loan_Start)+(Pay_Num)*12/Num_Pmt_Per_Year,DAY(Loan_Start)),"")</f>
        <v>60430</v>
      </c>
      <c r="C173" s="70">
        <f>IF(Pay_Num&lt;&gt;"",I172,"")</f>
        <v>0</v>
      </c>
      <c r="D173" s="70">
        <f>IF(Pay_Num&lt;&gt;"",Scheduled_Monthly_Payment,"")</f>
        <v>71560.087675010276</v>
      </c>
      <c r="E173" s="71">
        <f>IF(AND(Pay_Num&lt;&gt;"",Sched_Pay+Scheduled_Extra_Payments&lt;Beg_Bal),Scheduled_Extra_Payments,IF(AND(Pay_Num&lt;&gt;"",Beg_Bal-Sched_Pay&gt;0),Beg_Bal-Sched_Pay,IF(Pay_Num&lt;&gt;"",0,"")))</f>
        <v>0</v>
      </c>
      <c r="F173" s="70">
        <f>IF(AND(Pay_Num&lt;&gt;"",Sched_Pay+Extra_Pay&lt;Beg_Bal),Sched_Pay+Extra_Pay,IF(Pay_Num&lt;&gt;"",Beg_Bal,""))</f>
        <v>0</v>
      </c>
      <c r="G173" s="70">
        <f>IF(Pay_Num&lt;&gt;"",Total_Pay-Int,"")</f>
        <v>0</v>
      </c>
      <c r="H173" s="70">
        <f>IF(Pay_Num&lt;&gt;"",Beg_Bal*Interest_Rate/Num_Pmt_Per_Year,"")</f>
        <v>0</v>
      </c>
      <c r="I173" s="70">
        <f>IF(AND(Pay_Num&lt;&gt;"",Sched_Pay+Extra_Pay&lt;Beg_Bal),Beg_Bal-Princ,IF(Pay_Num&lt;&gt;"",0,""))</f>
        <v>0</v>
      </c>
      <c r="J173" s="70">
        <f>SUM($H$18:$H173)</f>
        <v>431201.75350020552</v>
      </c>
    </row>
    <row r="174" spans="1:10" x14ac:dyDescent="0.3">
      <c r="A174" s="36">
        <f>IF(Values_Entered,A173+1,"")</f>
        <v>157</v>
      </c>
      <c r="B174" s="35">
        <f>IF(Pay_Num&lt;&gt;"",DATE(YEAR(Loan_Start),MONTH(Loan_Start)+(Pay_Num)*12/Num_Pmt_Per_Year,DAY(Loan_Start)),"")</f>
        <v>60522</v>
      </c>
      <c r="C174" s="70">
        <f>IF(Pay_Num&lt;&gt;"",I173,"")</f>
        <v>0</v>
      </c>
      <c r="D174" s="70">
        <f>IF(Pay_Num&lt;&gt;"",Scheduled_Monthly_Payment,"")</f>
        <v>71560.087675010276</v>
      </c>
      <c r="E174" s="71">
        <f>IF(AND(Pay_Num&lt;&gt;"",Sched_Pay+Scheduled_Extra_Payments&lt;Beg_Bal),Scheduled_Extra_Payments,IF(AND(Pay_Num&lt;&gt;"",Beg_Bal-Sched_Pay&gt;0),Beg_Bal-Sched_Pay,IF(Pay_Num&lt;&gt;"",0,"")))</f>
        <v>0</v>
      </c>
      <c r="F174" s="70">
        <f>IF(AND(Pay_Num&lt;&gt;"",Sched_Pay+Extra_Pay&lt;Beg_Bal),Sched_Pay+Extra_Pay,IF(Pay_Num&lt;&gt;"",Beg_Bal,""))</f>
        <v>0</v>
      </c>
      <c r="G174" s="70">
        <f>IF(Pay_Num&lt;&gt;"",Total_Pay-Int,"")</f>
        <v>0</v>
      </c>
      <c r="H174" s="70">
        <f>IF(Pay_Num&lt;&gt;"",Beg_Bal*Interest_Rate/Num_Pmt_Per_Year,"")</f>
        <v>0</v>
      </c>
      <c r="I174" s="70">
        <f>IF(AND(Pay_Num&lt;&gt;"",Sched_Pay+Extra_Pay&lt;Beg_Bal),Beg_Bal-Princ,IF(Pay_Num&lt;&gt;"",0,""))</f>
        <v>0</v>
      </c>
      <c r="J174" s="70">
        <f>SUM($H$18:$H174)</f>
        <v>431201.75350020552</v>
      </c>
    </row>
    <row r="175" spans="1:10" x14ac:dyDescent="0.3">
      <c r="A175" s="36">
        <f>IF(Values_Entered,A174+1,"")</f>
        <v>158</v>
      </c>
      <c r="B175" s="35">
        <f>IF(Pay_Num&lt;&gt;"",DATE(YEAR(Loan_Start),MONTH(Loan_Start)+(Pay_Num)*12/Num_Pmt_Per_Year,DAY(Loan_Start)),"")</f>
        <v>60613</v>
      </c>
      <c r="C175" s="70">
        <f>IF(Pay_Num&lt;&gt;"",I174,"")</f>
        <v>0</v>
      </c>
      <c r="D175" s="70">
        <f>IF(Pay_Num&lt;&gt;"",Scheduled_Monthly_Payment,"")</f>
        <v>71560.087675010276</v>
      </c>
      <c r="E175" s="71">
        <f>IF(AND(Pay_Num&lt;&gt;"",Sched_Pay+Scheduled_Extra_Payments&lt;Beg_Bal),Scheduled_Extra_Payments,IF(AND(Pay_Num&lt;&gt;"",Beg_Bal-Sched_Pay&gt;0),Beg_Bal-Sched_Pay,IF(Pay_Num&lt;&gt;"",0,"")))</f>
        <v>0</v>
      </c>
      <c r="F175" s="70">
        <f>IF(AND(Pay_Num&lt;&gt;"",Sched_Pay+Extra_Pay&lt;Beg_Bal),Sched_Pay+Extra_Pay,IF(Pay_Num&lt;&gt;"",Beg_Bal,""))</f>
        <v>0</v>
      </c>
      <c r="G175" s="70">
        <f>IF(Pay_Num&lt;&gt;"",Total_Pay-Int,"")</f>
        <v>0</v>
      </c>
      <c r="H175" s="70">
        <f>IF(Pay_Num&lt;&gt;"",Beg_Bal*Interest_Rate/Num_Pmt_Per_Year,"")</f>
        <v>0</v>
      </c>
      <c r="I175" s="70">
        <f>IF(AND(Pay_Num&lt;&gt;"",Sched_Pay+Extra_Pay&lt;Beg_Bal),Beg_Bal-Princ,IF(Pay_Num&lt;&gt;"",0,""))</f>
        <v>0</v>
      </c>
      <c r="J175" s="70">
        <f>SUM($H$18:$H175)</f>
        <v>431201.75350020552</v>
      </c>
    </row>
    <row r="176" spans="1:10" x14ac:dyDescent="0.3">
      <c r="A176" s="36">
        <f>IF(Values_Entered,A175+1,"")</f>
        <v>159</v>
      </c>
      <c r="B176" s="35">
        <f>IF(Pay_Num&lt;&gt;"",DATE(YEAR(Loan_Start),MONTH(Loan_Start)+(Pay_Num)*12/Num_Pmt_Per_Year,DAY(Loan_Start)),"")</f>
        <v>60703</v>
      </c>
      <c r="C176" s="70">
        <f>IF(Pay_Num&lt;&gt;"",I175,"")</f>
        <v>0</v>
      </c>
      <c r="D176" s="70">
        <f>IF(Pay_Num&lt;&gt;"",Scheduled_Monthly_Payment,"")</f>
        <v>71560.087675010276</v>
      </c>
      <c r="E176" s="71">
        <f>IF(AND(Pay_Num&lt;&gt;"",Sched_Pay+Scheduled_Extra_Payments&lt;Beg_Bal),Scheduled_Extra_Payments,IF(AND(Pay_Num&lt;&gt;"",Beg_Bal-Sched_Pay&gt;0),Beg_Bal-Sched_Pay,IF(Pay_Num&lt;&gt;"",0,"")))</f>
        <v>0</v>
      </c>
      <c r="F176" s="70">
        <f>IF(AND(Pay_Num&lt;&gt;"",Sched_Pay+Extra_Pay&lt;Beg_Bal),Sched_Pay+Extra_Pay,IF(Pay_Num&lt;&gt;"",Beg_Bal,""))</f>
        <v>0</v>
      </c>
      <c r="G176" s="70">
        <f>IF(Pay_Num&lt;&gt;"",Total_Pay-Int,"")</f>
        <v>0</v>
      </c>
      <c r="H176" s="70">
        <f>IF(Pay_Num&lt;&gt;"",Beg_Bal*Interest_Rate/Num_Pmt_Per_Year,"")</f>
        <v>0</v>
      </c>
      <c r="I176" s="70">
        <f>IF(AND(Pay_Num&lt;&gt;"",Sched_Pay+Extra_Pay&lt;Beg_Bal),Beg_Bal-Princ,IF(Pay_Num&lt;&gt;"",0,""))</f>
        <v>0</v>
      </c>
      <c r="J176" s="70">
        <f>SUM($H$18:$H176)</f>
        <v>431201.75350020552</v>
      </c>
    </row>
    <row r="177" spans="1:10" x14ac:dyDescent="0.3">
      <c r="A177" s="36">
        <f>IF(Values_Entered,A176+1,"")</f>
        <v>160</v>
      </c>
      <c r="B177" s="35">
        <f>IF(Pay_Num&lt;&gt;"",DATE(YEAR(Loan_Start),MONTH(Loan_Start)+(Pay_Num)*12/Num_Pmt_Per_Year,DAY(Loan_Start)),"")</f>
        <v>60795</v>
      </c>
      <c r="C177" s="70">
        <f>IF(Pay_Num&lt;&gt;"",I176,"")</f>
        <v>0</v>
      </c>
      <c r="D177" s="70">
        <f>IF(Pay_Num&lt;&gt;"",Scheduled_Monthly_Payment,"")</f>
        <v>71560.087675010276</v>
      </c>
      <c r="E177" s="71">
        <f>IF(AND(Pay_Num&lt;&gt;"",Sched_Pay+Scheduled_Extra_Payments&lt;Beg_Bal),Scheduled_Extra_Payments,IF(AND(Pay_Num&lt;&gt;"",Beg_Bal-Sched_Pay&gt;0),Beg_Bal-Sched_Pay,IF(Pay_Num&lt;&gt;"",0,"")))</f>
        <v>0</v>
      </c>
      <c r="F177" s="70">
        <f>IF(AND(Pay_Num&lt;&gt;"",Sched_Pay+Extra_Pay&lt;Beg_Bal),Sched_Pay+Extra_Pay,IF(Pay_Num&lt;&gt;"",Beg_Bal,""))</f>
        <v>0</v>
      </c>
      <c r="G177" s="70">
        <f>IF(Pay_Num&lt;&gt;"",Total_Pay-Int,"")</f>
        <v>0</v>
      </c>
      <c r="H177" s="70">
        <f>IF(Pay_Num&lt;&gt;"",Beg_Bal*Interest_Rate/Num_Pmt_Per_Year,"")</f>
        <v>0</v>
      </c>
      <c r="I177" s="70">
        <f>IF(AND(Pay_Num&lt;&gt;"",Sched_Pay+Extra_Pay&lt;Beg_Bal),Beg_Bal-Princ,IF(Pay_Num&lt;&gt;"",0,""))</f>
        <v>0</v>
      </c>
      <c r="J177" s="70">
        <f>SUM($H$18:$H177)</f>
        <v>431201.75350020552</v>
      </c>
    </row>
    <row r="178" spans="1:10" x14ac:dyDescent="0.3">
      <c r="A178" s="36">
        <f>IF(Values_Entered,A177+1,"")</f>
        <v>161</v>
      </c>
      <c r="B178" s="35">
        <f>IF(Pay_Num&lt;&gt;"",DATE(YEAR(Loan_Start),MONTH(Loan_Start)+(Pay_Num)*12/Num_Pmt_Per_Year,DAY(Loan_Start)),"")</f>
        <v>60887</v>
      </c>
      <c r="C178" s="70">
        <f>IF(Pay_Num&lt;&gt;"",I177,"")</f>
        <v>0</v>
      </c>
      <c r="D178" s="70">
        <f>IF(Pay_Num&lt;&gt;"",Scheduled_Monthly_Payment,"")</f>
        <v>71560.087675010276</v>
      </c>
      <c r="E178" s="71">
        <f>IF(AND(Pay_Num&lt;&gt;"",Sched_Pay+Scheduled_Extra_Payments&lt;Beg_Bal),Scheduled_Extra_Payments,IF(AND(Pay_Num&lt;&gt;"",Beg_Bal-Sched_Pay&gt;0),Beg_Bal-Sched_Pay,IF(Pay_Num&lt;&gt;"",0,"")))</f>
        <v>0</v>
      </c>
      <c r="F178" s="70">
        <f>IF(AND(Pay_Num&lt;&gt;"",Sched_Pay+Extra_Pay&lt;Beg_Bal),Sched_Pay+Extra_Pay,IF(Pay_Num&lt;&gt;"",Beg_Bal,""))</f>
        <v>0</v>
      </c>
      <c r="G178" s="70">
        <f>IF(Pay_Num&lt;&gt;"",Total_Pay-Int,"")</f>
        <v>0</v>
      </c>
      <c r="H178" s="70">
        <f>IF(Pay_Num&lt;&gt;"",Beg_Bal*Interest_Rate/Num_Pmt_Per_Year,"")</f>
        <v>0</v>
      </c>
      <c r="I178" s="70">
        <f>IF(AND(Pay_Num&lt;&gt;"",Sched_Pay+Extra_Pay&lt;Beg_Bal),Beg_Bal-Princ,IF(Pay_Num&lt;&gt;"",0,""))</f>
        <v>0</v>
      </c>
      <c r="J178" s="70">
        <f>SUM($H$18:$H178)</f>
        <v>431201.75350020552</v>
      </c>
    </row>
    <row r="179" spans="1:10" x14ac:dyDescent="0.3">
      <c r="A179" s="36">
        <f>IF(Values_Entered,A178+1,"")</f>
        <v>162</v>
      </c>
      <c r="B179" s="35">
        <f>IF(Pay_Num&lt;&gt;"",DATE(YEAR(Loan_Start),MONTH(Loan_Start)+(Pay_Num)*12/Num_Pmt_Per_Year,DAY(Loan_Start)),"")</f>
        <v>60978</v>
      </c>
      <c r="C179" s="70">
        <f>IF(Pay_Num&lt;&gt;"",I178,"")</f>
        <v>0</v>
      </c>
      <c r="D179" s="70">
        <f>IF(Pay_Num&lt;&gt;"",Scheduled_Monthly_Payment,"")</f>
        <v>71560.087675010276</v>
      </c>
      <c r="E179" s="71">
        <f>IF(AND(Pay_Num&lt;&gt;"",Sched_Pay+Scheduled_Extra_Payments&lt;Beg_Bal),Scheduled_Extra_Payments,IF(AND(Pay_Num&lt;&gt;"",Beg_Bal-Sched_Pay&gt;0),Beg_Bal-Sched_Pay,IF(Pay_Num&lt;&gt;"",0,"")))</f>
        <v>0</v>
      </c>
      <c r="F179" s="70">
        <f>IF(AND(Pay_Num&lt;&gt;"",Sched_Pay+Extra_Pay&lt;Beg_Bal),Sched_Pay+Extra_Pay,IF(Pay_Num&lt;&gt;"",Beg_Bal,""))</f>
        <v>0</v>
      </c>
      <c r="G179" s="70">
        <f>IF(Pay_Num&lt;&gt;"",Total_Pay-Int,"")</f>
        <v>0</v>
      </c>
      <c r="H179" s="70">
        <f>IF(Pay_Num&lt;&gt;"",Beg_Bal*Interest_Rate/Num_Pmt_Per_Year,"")</f>
        <v>0</v>
      </c>
      <c r="I179" s="70">
        <f>IF(AND(Pay_Num&lt;&gt;"",Sched_Pay+Extra_Pay&lt;Beg_Bal),Beg_Bal-Princ,IF(Pay_Num&lt;&gt;"",0,""))</f>
        <v>0</v>
      </c>
      <c r="J179" s="70">
        <f>SUM($H$18:$H179)</f>
        <v>431201.75350020552</v>
      </c>
    </row>
    <row r="180" spans="1:10" x14ac:dyDescent="0.3">
      <c r="A180" s="36">
        <f>IF(Values_Entered,A179+1,"")</f>
        <v>163</v>
      </c>
      <c r="B180" s="35">
        <f>IF(Pay_Num&lt;&gt;"",DATE(YEAR(Loan_Start),MONTH(Loan_Start)+(Pay_Num)*12/Num_Pmt_Per_Year,DAY(Loan_Start)),"")</f>
        <v>61068</v>
      </c>
      <c r="C180" s="70">
        <f>IF(Pay_Num&lt;&gt;"",I179,"")</f>
        <v>0</v>
      </c>
      <c r="D180" s="70">
        <f>IF(Pay_Num&lt;&gt;"",Scheduled_Monthly_Payment,"")</f>
        <v>71560.087675010276</v>
      </c>
      <c r="E180" s="71">
        <f>IF(AND(Pay_Num&lt;&gt;"",Sched_Pay+Scheduled_Extra_Payments&lt;Beg_Bal),Scheduled_Extra_Payments,IF(AND(Pay_Num&lt;&gt;"",Beg_Bal-Sched_Pay&gt;0),Beg_Bal-Sched_Pay,IF(Pay_Num&lt;&gt;"",0,"")))</f>
        <v>0</v>
      </c>
      <c r="F180" s="70">
        <f>IF(AND(Pay_Num&lt;&gt;"",Sched_Pay+Extra_Pay&lt;Beg_Bal),Sched_Pay+Extra_Pay,IF(Pay_Num&lt;&gt;"",Beg_Bal,""))</f>
        <v>0</v>
      </c>
      <c r="G180" s="70">
        <f>IF(Pay_Num&lt;&gt;"",Total_Pay-Int,"")</f>
        <v>0</v>
      </c>
      <c r="H180" s="70">
        <f>IF(Pay_Num&lt;&gt;"",Beg_Bal*Interest_Rate/Num_Pmt_Per_Year,"")</f>
        <v>0</v>
      </c>
      <c r="I180" s="70">
        <f>IF(AND(Pay_Num&lt;&gt;"",Sched_Pay+Extra_Pay&lt;Beg_Bal),Beg_Bal-Princ,IF(Pay_Num&lt;&gt;"",0,""))</f>
        <v>0</v>
      </c>
      <c r="J180" s="70">
        <f>SUM($H$18:$H180)</f>
        <v>431201.75350020552</v>
      </c>
    </row>
    <row r="181" spans="1:10" x14ac:dyDescent="0.3">
      <c r="A181" s="36">
        <f>IF(Values_Entered,A180+1,"")</f>
        <v>164</v>
      </c>
      <c r="B181" s="35">
        <f>IF(Pay_Num&lt;&gt;"",DATE(YEAR(Loan_Start),MONTH(Loan_Start)+(Pay_Num)*12/Num_Pmt_Per_Year,DAY(Loan_Start)),"")</f>
        <v>61160</v>
      </c>
      <c r="C181" s="70">
        <f>IF(Pay_Num&lt;&gt;"",I180,"")</f>
        <v>0</v>
      </c>
      <c r="D181" s="70">
        <f>IF(Pay_Num&lt;&gt;"",Scheduled_Monthly_Payment,"")</f>
        <v>71560.087675010276</v>
      </c>
      <c r="E181" s="71">
        <f>IF(AND(Pay_Num&lt;&gt;"",Sched_Pay+Scheduled_Extra_Payments&lt;Beg_Bal),Scheduled_Extra_Payments,IF(AND(Pay_Num&lt;&gt;"",Beg_Bal-Sched_Pay&gt;0),Beg_Bal-Sched_Pay,IF(Pay_Num&lt;&gt;"",0,"")))</f>
        <v>0</v>
      </c>
      <c r="F181" s="70">
        <f>IF(AND(Pay_Num&lt;&gt;"",Sched_Pay+Extra_Pay&lt;Beg_Bal),Sched_Pay+Extra_Pay,IF(Pay_Num&lt;&gt;"",Beg_Bal,""))</f>
        <v>0</v>
      </c>
      <c r="G181" s="70">
        <f>IF(Pay_Num&lt;&gt;"",Total_Pay-Int,"")</f>
        <v>0</v>
      </c>
      <c r="H181" s="70">
        <f>IF(Pay_Num&lt;&gt;"",Beg_Bal*Interest_Rate/Num_Pmt_Per_Year,"")</f>
        <v>0</v>
      </c>
      <c r="I181" s="70">
        <f>IF(AND(Pay_Num&lt;&gt;"",Sched_Pay+Extra_Pay&lt;Beg_Bal),Beg_Bal-Princ,IF(Pay_Num&lt;&gt;"",0,""))</f>
        <v>0</v>
      </c>
      <c r="J181" s="70">
        <f>SUM($H$18:$H181)</f>
        <v>431201.75350020552</v>
      </c>
    </row>
    <row r="182" spans="1:10" x14ac:dyDescent="0.3">
      <c r="A182" s="36">
        <f>IF(Values_Entered,A181+1,"")</f>
        <v>165</v>
      </c>
      <c r="B182" s="35">
        <f>IF(Pay_Num&lt;&gt;"",DATE(YEAR(Loan_Start),MONTH(Loan_Start)+(Pay_Num)*12/Num_Pmt_Per_Year,DAY(Loan_Start)),"")</f>
        <v>61252</v>
      </c>
      <c r="C182" s="70">
        <f>IF(Pay_Num&lt;&gt;"",I181,"")</f>
        <v>0</v>
      </c>
      <c r="D182" s="70">
        <f>IF(Pay_Num&lt;&gt;"",Scheduled_Monthly_Payment,"")</f>
        <v>71560.087675010276</v>
      </c>
      <c r="E182" s="71">
        <f>IF(AND(Pay_Num&lt;&gt;"",Sched_Pay+Scheduled_Extra_Payments&lt;Beg_Bal),Scheduled_Extra_Payments,IF(AND(Pay_Num&lt;&gt;"",Beg_Bal-Sched_Pay&gt;0),Beg_Bal-Sched_Pay,IF(Pay_Num&lt;&gt;"",0,"")))</f>
        <v>0</v>
      </c>
      <c r="F182" s="70">
        <f>IF(AND(Pay_Num&lt;&gt;"",Sched_Pay+Extra_Pay&lt;Beg_Bal),Sched_Pay+Extra_Pay,IF(Pay_Num&lt;&gt;"",Beg_Bal,""))</f>
        <v>0</v>
      </c>
      <c r="G182" s="70">
        <f>IF(Pay_Num&lt;&gt;"",Total_Pay-Int,"")</f>
        <v>0</v>
      </c>
      <c r="H182" s="70">
        <f>IF(Pay_Num&lt;&gt;"",Beg_Bal*Interest_Rate/Num_Pmt_Per_Year,"")</f>
        <v>0</v>
      </c>
      <c r="I182" s="70">
        <f>IF(AND(Pay_Num&lt;&gt;"",Sched_Pay+Extra_Pay&lt;Beg_Bal),Beg_Bal-Princ,IF(Pay_Num&lt;&gt;"",0,""))</f>
        <v>0</v>
      </c>
      <c r="J182" s="70">
        <f>SUM($H$18:$H182)</f>
        <v>431201.75350020552</v>
      </c>
    </row>
    <row r="183" spans="1:10" x14ac:dyDescent="0.3">
      <c r="A183" s="36">
        <f>IF(Values_Entered,A182+1,"")</f>
        <v>166</v>
      </c>
      <c r="B183" s="35">
        <f>IF(Pay_Num&lt;&gt;"",DATE(YEAR(Loan_Start),MONTH(Loan_Start)+(Pay_Num)*12/Num_Pmt_Per_Year,DAY(Loan_Start)),"")</f>
        <v>61343</v>
      </c>
      <c r="C183" s="70">
        <f>IF(Pay_Num&lt;&gt;"",I182,"")</f>
        <v>0</v>
      </c>
      <c r="D183" s="70">
        <f>IF(Pay_Num&lt;&gt;"",Scheduled_Monthly_Payment,"")</f>
        <v>71560.087675010276</v>
      </c>
      <c r="E183" s="71">
        <f>IF(AND(Pay_Num&lt;&gt;"",Sched_Pay+Scheduled_Extra_Payments&lt;Beg_Bal),Scheduled_Extra_Payments,IF(AND(Pay_Num&lt;&gt;"",Beg_Bal-Sched_Pay&gt;0),Beg_Bal-Sched_Pay,IF(Pay_Num&lt;&gt;"",0,"")))</f>
        <v>0</v>
      </c>
      <c r="F183" s="70">
        <f>IF(AND(Pay_Num&lt;&gt;"",Sched_Pay+Extra_Pay&lt;Beg_Bal),Sched_Pay+Extra_Pay,IF(Pay_Num&lt;&gt;"",Beg_Bal,""))</f>
        <v>0</v>
      </c>
      <c r="G183" s="70">
        <f>IF(Pay_Num&lt;&gt;"",Total_Pay-Int,"")</f>
        <v>0</v>
      </c>
      <c r="H183" s="70">
        <f>IF(Pay_Num&lt;&gt;"",Beg_Bal*Interest_Rate/Num_Pmt_Per_Year,"")</f>
        <v>0</v>
      </c>
      <c r="I183" s="70">
        <f>IF(AND(Pay_Num&lt;&gt;"",Sched_Pay+Extra_Pay&lt;Beg_Bal),Beg_Bal-Princ,IF(Pay_Num&lt;&gt;"",0,""))</f>
        <v>0</v>
      </c>
      <c r="J183" s="70">
        <f>SUM($H$18:$H183)</f>
        <v>431201.75350020552</v>
      </c>
    </row>
    <row r="184" spans="1:10" x14ac:dyDescent="0.3">
      <c r="A184" s="36">
        <f>IF(Values_Entered,A183+1,"")</f>
        <v>167</v>
      </c>
      <c r="B184" s="35">
        <f>IF(Pay_Num&lt;&gt;"",DATE(YEAR(Loan_Start),MONTH(Loan_Start)+(Pay_Num)*12/Num_Pmt_Per_Year,DAY(Loan_Start)),"")</f>
        <v>61434</v>
      </c>
      <c r="C184" s="70">
        <f>IF(Pay_Num&lt;&gt;"",I183,"")</f>
        <v>0</v>
      </c>
      <c r="D184" s="70">
        <f>IF(Pay_Num&lt;&gt;"",Scheduled_Monthly_Payment,"")</f>
        <v>71560.087675010276</v>
      </c>
      <c r="E184" s="71">
        <f>IF(AND(Pay_Num&lt;&gt;"",Sched_Pay+Scheduled_Extra_Payments&lt;Beg_Bal),Scheduled_Extra_Payments,IF(AND(Pay_Num&lt;&gt;"",Beg_Bal-Sched_Pay&gt;0),Beg_Bal-Sched_Pay,IF(Pay_Num&lt;&gt;"",0,"")))</f>
        <v>0</v>
      </c>
      <c r="F184" s="70">
        <f>IF(AND(Pay_Num&lt;&gt;"",Sched_Pay+Extra_Pay&lt;Beg_Bal),Sched_Pay+Extra_Pay,IF(Pay_Num&lt;&gt;"",Beg_Bal,""))</f>
        <v>0</v>
      </c>
      <c r="G184" s="70">
        <f>IF(Pay_Num&lt;&gt;"",Total_Pay-Int,"")</f>
        <v>0</v>
      </c>
      <c r="H184" s="70">
        <f>IF(Pay_Num&lt;&gt;"",Beg_Bal*Interest_Rate/Num_Pmt_Per_Year,"")</f>
        <v>0</v>
      </c>
      <c r="I184" s="70">
        <f>IF(AND(Pay_Num&lt;&gt;"",Sched_Pay+Extra_Pay&lt;Beg_Bal),Beg_Bal-Princ,IF(Pay_Num&lt;&gt;"",0,""))</f>
        <v>0</v>
      </c>
      <c r="J184" s="70">
        <f>SUM($H$18:$H184)</f>
        <v>431201.75350020552</v>
      </c>
    </row>
    <row r="185" spans="1:10" x14ac:dyDescent="0.3">
      <c r="A185" s="36">
        <f>IF(Values_Entered,A184+1,"")</f>
        <v>168</v>
      </c>
      <c r="B185" s="35">
        <f>IF(Pay_Num&lt;&gt;"",DATE(YEAR(Loan_Start),MONTH(Loan_Start)+(Pay_Num)*12/Num_Pmt_Per_Year,DAY(Loan_Start)),"")</f>
        <v>61526</v>
      </c>
      <c r="C185" s="70">
        <f>IF(Pay_Num&lt;&gt;"",I184,"")</f>
        <v>0</v>
      </c>
      <c r="D185" s="70">
        <f>IF(Pay_Num&lt;&gt;"",Scheduled_Monthly_Payment,"")</f>
        <v>71560.087675010276</v>
      </c>
      <c r="E185" s="71">
        <f>IF(AND(Pay_Num&lt;&gt;"",Sched_Pay+Scheduled_Extra_Payments&lt;Beg_Bal),Scheduled_Extra_Payments,IF(AND(Pay_Num&lt;&gt;"",Beg_Bal-Sched_Pay&gt;0),Beg_Bal-Sched_Pay,IF(Pay_Num&lt;&gt;"",0,"")))</f>
        <v>0</v>
      </c>
      <c r="F185" s="70">
        <f>IF(AND(Pay_Num&lt;&gt;"",Sched_Pay+Extra_Pay&lt;Beg_Bal),Sched_Pay+Extra_Pay,IF(Pay_Num&lt;&gt;"",Beg_Bal,""))</f>
        <v>0</v>
      </c>
      <c r="G185" s="70">
        <f>IF(Pay_Num&lt;&gt;"",Total_Pay-Int,"")</f>
        <v>0</v>
      </c>
      <c r="H185" s="70">
        <f>IF(Pay_Num&lt;&gt;"",Beg_Bal*Interest_Rate/Num_Pmt_Per_Year,"")</f>
        <v>0</v>
      </c>
      <c r="I185" s="70">
        <f>IF(AND(Pay_Num&lt;&gt;"",Sched_Pay+Extra_Pay&lt;Beg_Bal),Beg_Bal-Princ,IF(Pay_Num&lt;&gt;"",0,""))</f>
        <v>0</v>
      </c>
      <c r="J185" s="70">
        <f>SUM($H$18:$H185)</f>
        <v>431201.75350020552</v>
      </c>
    </row>
    <row r="186" spans="1:10" x14ac:dyDescent="0.3">
      <c r="A186" s="36">
        <f>IF(Values_Entered,A185+1,"")</f>
        <v>169</v>
      </c>
      <c r="B186" s="35">
        <f>IF(Pay_Num&lt;&gt;"",DATE(YEAR(Loan_Start),MONTH(Loan_Start)+(Pay_Num)*12/Num_Pmt_Per_Year,DAY(Loan_Start)),"")</f>
        <v>61618</v>
      </c>
      <c r="C186" s="70">
        <f>IF(Pay_Num&lt;&gt;"",I185,"")</f>
        <v>0</v>
      </c>
      <c r="D186" s="70">
        <f>IF(Pay_Num&lt;&gt;"",Scheduled_Monthly_Payment,"")</f>
        <v>71560.087675010276</v>
      </c>
      <c r="E186" s="71">
        <f>IF(AND(Pay_Num&lt;&gt;"",Sched_Pay+Scheduled_Extra_Payments&lt;Beg_Bal),Scheduled_Extra_Payments,IF(AND(Pay_Num&lt;&gt;"",Beg_Bal-Sched_Pay&gt;0),Beg_Bal-Sched_Pay,IF(Pay_Num&lt;&gt;"",0,"")))</f>
        <v>0</v>
      </c>
      <c r="F186" s="70">
        <f>IF(AND(Pay_Num&lt;&gt;"",Sched_Pay+Extra_Pay&lt;Beg_Bal),Sched_Pay+Extra_Pay,IF(Pay_Num&lt;&gt;"",Beg_Bal,""))</f>
        <v>0</v>
      </c>
      <c r="G186" s="70">
        <f>IF(Pay_Num&lt;&gt;"",Total_Pay-Int,"")</f>
        <v>0</v>
      </c>
      <c r="H186" s="70">
        <f>IF(Pay_Num&lt;&gt;"",Beg_Bal*Interest_Rate/Num_Pmt_Per_Year,"")</f>
        <v>0</v>
      </c>
      <c r="I186" s="70">
        <f>IF(AND(Pay_Num&lt;&gt;"",Sched_Pay+Extra_Pay&lt;Beg_Bal),Beg_Bal-Princ,IF(Pay_Num&lt;&gt;"",0,""))</f>
        <v>0</v>
      </c>
      <c r="J186" s="70">
        <f>SUM($H$18:$H186)</f>
        <v>431201.75350020552</v>
      </c>
    </row>
    <row r="187" spans="1:10" x14ac:dyDescent="0.3">
      <c r="A187" s="36">
        <f>IF(Values_Entered,A186+1,"")</f>
        <v>170</v>
      </c>
      <c r="B187" s="35">
        <f>IF(Pay_Num&lt;&gt;"",DATE(YEAR(Loan_Start),MONTH(Loan_Start)+(Pay_Num)*12/Num_Pmt_Per_Year,DAY(Loan_Start)),"")</f>
        <v>61709</v>
      </c>
      <c r="C187" s="70">
        <f>IF(Pay_Num&lt;&gt;"",I186,"")</f>
        <v>0</v>
      </c>
      <c r="D187" s="70">
        <f>IF(Pay_Num&lt;&gt;"",Scheduled_Monthly_Payment,"")</f>
        <v>71560.087675010276</v>
      </c>
      <c r="E187" s="71">
        <f>IF(AND(Pay_Num&lt;&gt;"",Sched_Pay+Scheduled_Extra_Payments&lt;Beg_Bal),Scheduled_Extra_Payments,IF(AND(Pay_Num&lt;&gt;"",Beg_Bal-Sched_Pay&gt;0),Beg_Bal-Sched_Pay,IF(Pay_Num&lt;&gt;"",0,"")))</f>
        <v>0</v>
      </c>
      <c r="F187" s="70">
        <f>IF(AND(Pay_Num&lt;&gt;"",Sched_Pay+Extra_Pay&lt;Beg_Bal),Sched_Pay+Extra_Pay,IF(Pay_Num&lt;&gt;"",Beg_Bal,""))</f>
        <v>0</v>
      </c>
      <c r="G187" s="70">
        <f>IF(Pay_Num&lt;&gt;"",Total_Pay-Int,"")</f>
        <v>0</v>
      </c>
      <c r="H187" s="70">
        <f>IF(Pay_Num&lt;&gt;"",Beg_Bal*Interest_Rate/Num_Pmt_Per_Year,"")</f>
        <v>0</v>
      </c>
      <c r="I187" s="70">
        <f>IF(AND(Pay_Num&lt;&gt;"",Sched_Pay+Extra_Pay&lt;Beg_Bal),Beg_Bal-Princ,IF(Pay_Num&lt;&gt;"",0,""))</f>
        <v>0</v>
      </c>
      <c r="J187" s="70">
        <f>SUM($H$18:$H187)</f>
        <v>431201.75350020552</v>
      </c>
    </row>
    <row r="188" spans="1:10" x14ac:dyDescent="0.3">
      <c r="A188" s="36">
        <f>IF(Values_Entered,A187+1,"")</f>
        <v>171</v>
      </c>
      <c r="B188" s="35">
        <f>IF(Pay_Num&lt;&gt;"",DATE(YEAR(Loan_Start),MONTH(Loan_Start)+(Pay_Num)*12/Num_Pmt_Per_Year,DAY(Loan_Start)),"")</f>
        <v>61799</v>
      </c>
      <c r="C188" s="70">
        <f>IF(Pay_Num&lt;&gt;"",I187,"")</f>
        <v>0</v>
      </c>
      <c r="D188" s="70">
        <f>IF(Pay_Num&lt;&gt;"",Scheduled_Monthly_Payment,"")</f>
        <v>71560.087675010276</v>
      </c>
      <c r="E188" s="71">
        <f>IF(AND(Pay_Num&lt;&gt;"",Sched_Pay+Scheduled_Extra_Payments&lt;Beg_Bal),Scheduled_Extra_Payments,IF(AND(Pay_Num&lt;&gt;"",Beg_Bal-Sched_Pay&gt;0),Beg_Bal-Sched_Pay,IF(Pay_Num&lt;&gt;"",0,"")))</f>
        <v>0</v>
      </c>
      <c r="F188" s="70">
        <f>IF(AND(Pay_Num&lt;&gt;"",Sched_Pay+Extra_Pay&lt;Beg_Bal),Sched_Pay+Extra_Pay,IF(Pay_Num&lt;&gt;"",Beg_Bal,""))</f>
        <v>0</v>
      </c>
      <c r="G188" s="70">
        <f>IF(Pay_Num&lt;&gt;"",Total_Pay-Int,"")</f>
        <v>0</v>
      </c>
      <c r="H188" s="70">
        <f>IF(Pay_Num&lt;&gt;"",Beg_Bal*Interest_Rate/Num_Pmt_Per_Year,"")</f>
        <v>0</v>
      </c>
      <c r="I188" s="70">
        <f>IF(AND(Pay_Num&lt;&gt;"",Sched_Pay+Extra_Pay&lt;Beg_Bal),Beg_Bal-Princ,IF(Pay_Num&lt;&gt;"",0,""))</f>
        <v>0</v>
      </c>
      <c r="J188" s="70">
        <f>SUM($H$18:$H188)</f>
        <v>431201.75350020552</v>
      </c>
    </row>
    <row r="189" spans="1:10" x14ac:dyDescent="0.3">
      <c r="A189" s="36">
        <f>IF(Values_Entered,A188+1,"")</f>
        <v>172</v>
      </c>
      <c r="B189" s="35">
        <f>IF(Pay_Num&lt;&gt;"",DATE(YEAR(Loan_Start),MONTH(Loan_Start)+(Pay_Num)*12/Num_Pmt_Per_Year,DAY(Loan_Start)),"")</f>
        <v>61891</v>
      </c>
      <c r="C189" s="70">
        <f>IF(Pay_Num&lt;&gt;"",I188,"")</f>
        <v>0</v>
      </c>
      <c r="D189" s="70">
        <f>IF(Pay_Num&lt;&gt;"",Scheduled_Monthly_Payment,"")</f>
        <v>71560.087675010276</v>
      </c>
      <c r="E189" s="71">
        <f>IF(AND(Pay_Num&lt;&gt;"",Sched_Pay+Scheduled_Extra_Payments&lt;Beg_Bal),Scheduled_Extra_Payments,IF(AND(Pay_Num&lt;&gt;"",Beg_Bal-Sched_Pay&gt;0),Beg_Bal-Sched_Pay,IF(Pay_Num&lt;&gt;"",0,"")))</f>
        <v>0</v>
      </c>
      <c r="F189" s="70">
        <f>IF(AND(Pay_Num&lt;&gt;"",Sched_Pay+Extra_Pay&lt;Beg_Bal),Sched_Pay+Extra_Pay,IF(Pay_Num&lt;&gt;"",Beg_Bal,""))</f>
        <v>0</v>
      </c>
      <c r="G189" s="70">
        <f>IF(Pay_Num&lt;&gt;"",Total_Pay-Int,"")</f>
        <v>0</v>
      </c>
      <c r="H189" s="70">
        <f>IF(Pay_Num&lt;&gt;"",Beg_Bal*Interest_Rate/Num_Pmt_Per_Year,"")</f>
        <v>0</v>
      </c>
      <c r="I189" s="70">
        <f>IF(AND(Pay_Num&lt;&gt;"",Sched_Pay+Extra_Pay&lt;Beg_Bal),Beg_Bal-Princ,IF(Pay_Num&lt;&gt;"",0,""))</f>
        <v>0</v>
      </c>
      <c r="J189" s="70">
        <f>SUM($H$18:$H189)</f>
        <v>431201.75350020552</v>
      </c>
    </row>
    <row r="190" spans="1:10" x14ac:dyDescent="0.3">
      <c r="A190" s="36">
        <f>IF(Values_Entered,A189+1,"")</f>
        <v>173</v>
      </c>
      <c r="B190" s="35">
        <f>IF(Pay_Num&lt;&gt;"",DATE(YEAR(Loan_Start),MONTH(Loan_Start)+(Pay_Num)*12/Num_Pmt_Per_Year,DAY(Loan_Start)),"")</f>
        <v>61983</v>
      </c>
      <c r="C190" s="70">
        <f>IF(Pay_Num&lt;&gt;"",I189,"")</f>
        <v>0</v>
      </c>
      <c r="D190" s="70">
        <f>IF(Pay_Num&lt;&gt;"",Scheduled_Monthly_Payment,"")</f>
        <v>71560.087675010276</v>
      </c>
      <c r="E190" s="71">
        <f>IF(AND(Pay_Num&lt;&gt;"",Sched_Pay+Scheduled_Extra_Payments&lt;Beg_Bal),Scheduled_Extra_Payments,IF(AND(Pay_Num&lt;&gt;"",Beg_Bal-Sched_Pay&gt;0),Beg_Bal-Sched_Pay,IF(Pay_Num&lt;&gt;"",0,"")))</f>
        <v>0</v>
      </c>
      <c r="F190" s="70">
        <f>IF(AND(Pay_Num&lt;&gt;"",Sched_Pay+Extra_Pay&lt;Beg_Bal),Sched_Pay+Extra_Pay,IF(Pay_Num&lt;&gt;"",Beg_Bal,""))</f>
        <v>0</v>
      </c>
      <c r="G190" s="70">
        <f>IF(Pay_Num&lt;&gt;"",Total_Pay-Int,"")</f>
        <v>0</v>
      </c>
      <c r="H190" s="70">
        <f>IF(Pay_Num&lt;&gt;"",Beg_Bal*Interest_Rate/Num_Pmt_Per_Year,"")</f>
        <v>0</v>
      </c>
      <c r="I190" s="70">
        <f>IF(AND(Pay_Num&lt;&gt;"",Sched_Pay+Extra_Pay&lt;Beg_Bal),Beg_Bal-Princ,IF(Pay_Num&lt;&gt;"",0,""))</f>
        <v>0</v>
      </c>
      <c r="J190" s="70">
        <f>SUM($H$18:$H190)</f>
        <v>431201.75350020552</v>
      </c>
    </row>
    <row r="191" spans="1:10" x14ac:dyDescent="0.3">
      <c r="A191" s="36">
        <f>IF(Values_Entered,A190+1,"")</f>
        <v>174</v>
      </c>
      <c r="B191" s="35">
        <f>IF(Pay_Num&lt;&gt;"",DATE(YEAR(Loan_Start),MONTH(Loan_Start)+(Pay_Num)*12/Num_Pmt_Per_Year,DAY(Loan_Start)),"")</f>
        <v>62074</v>
      </c>
      <c r="C191" s="70">
        <f>IF(Pay_Num&lt;&gt;"",I190,"")</f>
        <v>0</v>
      </c>
      <c r="D191" s="70">
        <f>IF(Pay_Num&lt;&gt;"",Scheduled_Monthly_Payment,"")</f>
        <v>71560.087675010276</v>
      </c>
      <c r="E191" s="71">
        <f>IF(AND(Pay_Num&lt;&gt;"",Sched_Pay+Scheduled_Extra_Payments&lt;Beg_Bal),Scheduled_Extra_Payments,IF(AND(Pay_Num&lt;&gt;"",Beg_Bal-Sched_Pay&gt;0),Beg_Bal-Sched_Pay,IF(Pay_Num&lt;&gt;"",0,"")))</f>
        <v>0</v>
      </c>
      <c r="F191" s="70">
        <f>IF(AND(Pay_Num&lt;&gt;"",Sched_Pay+Extra_Pay&lt;Beg_Bal),Sched_Pay+Extra_Pay,IF(Pay_Num&lt;&gt;"",Beg_Bal,""))</f>
        <v>0</v>
      </c>
      <c r="G191" s="70">
        <f>IF(Pay_Num&lt;&gt;"",Total_Pay-Int,"")</f>
        <v>0</v>
      </c>
      <c r="H191" s="70">
        <f>IF(Pay_Num&lt;&gt;"",Beg_Bal*Interest_Rate/Num_Pmt_Per_Year,"")</f>
        <v>0</v>
      </c>
      <c r="I191" s="70">
        <f>IF(AND(Pay_Num&lt;&gt;"",Sched_Pay+Extra_Pay&lt;Beg_Bal),Beg_Bal-Princ,IF(Pay_Num&lt;&gt;"",0,""))</f>
        <v>0</v>
      </c>
      <c r="J191" s="70">
        <f>SUM($H$18:$H191)</f>
        <v>431201.75350020552</v>
      </c>
    </row>
    <row r="192" spans="1:10" x14ac:dyDescent="0.3">
      <c r="A192" s="36">
        <f>IF(Values_Entered,A191+1,"")</f>
        <v>175</v>
      </c>
      <c r="B192" s="35">
        <f>IF(Pay_Num&lt;&gt;"",DATE(YEAR(Loan_Start),MONTH(Loan_Start)+(Pay_Num)*12/Num_Pmt_Per_Year,DAY(Loan_Start)),"")</f>
        <v>62164</v>
      </c>
      <c r="C192" s="70">
        <f>IF(Pay_Num&lt;&gt;"",I191,"")</f>
        <v>0</v>
      </c>
      <c r="D192" s="70">
        <f>IF(Pay_Num&lt;&gt;"",Scheduled_Monthly_Payment,"")</f>
        <v>71560.087675010276</v>
      </c>
      <c r="E192" s="71">
        <f>IF(AND(Pay_Num&lt;&gt;"",Sched_Pay+Scheduled_Extra_Payments&lt;Beg_Bal),Scheduled_Extra_Payments,IF(AND(Pay_Num&lt;&gt;"",Beg_Bal-Sched_Pay&gt;0),Beg_Bal-Sched_Pay,IF(Pay_Num&lt;&gt;"",0,"")))</f>
        <v>0</v>
      </c>
      <c r="F192" s="70">
        <f>IF(AND(Pay_Num&lt;&gt;"",Sched_Pay+Extra_Pay&lt;Beg_Bal),Sched_Pay+Extra_Pay,IF(Pay_Num&lt;&gt;"",Beg_Bal,""))</f>
        <v>0</v>
      </c>
      <c r="G192" s="70">
        <f>IF(Pay_Num&lt;&gt;"",Total_Pay-Int,"")</f>
        <v>0</v>
      </c>
      <c r="H192" s="70">
        <f>IF(Pay_Num&lt;&gt;"",Beg_Bal*Interest_Rate/Num_Pmt_Per_Year,"")</f>
        <v>0</v>
      </c>
      <c r="I192" s="70">
        <f>IF(AND(Pay_Num&lt;&gt;"",Sched_Pay+Extra_Pay&lt;Beg_Bal),Beg_Bal-Princ,IF(Pay_Num&lt;&gt;"",0,""))</f>
        <v>0</v>
      </c>
      <c r="J192" s="70">
        <f>SUM($H$18:$H192)</f>
        <v>431201.75350020552</v>
      </c>
    </row>
    <row r="193" spans="1:10" x14ac:dyDescent="0.3">
      <c r="A193" s="36">
        <f>IF(Values_Entered,A192+1,"")</f>
        <v>176</v>
      </c>
      <c r="B193" s="35">
        <f>IF(Pay_Num&lt;&gt;"",DATE(YEAR(Loan_Start),MONTH(Loan_Start)+(Pay_Num)*12/Num_Pmt_Per_Year,DAY(Loan_Start)),"")</f>
        <v>62256</v>
      </c>
      <c r="C193" s="70">
        <f>IF(Pay_Num&lt;&gt;"",I192,"")</f>
        <v>0</v>
      </c>
      <c r="D193" s="70">
        <f>IF(Pay_Num&lt;&gt;"",Scheduled_Monthly_Payment,"")</f>
        <v>71560.087675010276</v>
      </c>
      <c r="E193" s="71">
        <f>IF(AND(Pay_Num&lt;&gt;"",Sched_Pay+Scheduled_Extra_Payments&lt;Beg_Bal),Scheduled_Extra_Payments,IF(AND(Pay_Num&lt;&gt;"",Beg_Bal-Sched_Pay&gt;0),Beg_Bal-Sched_Pay,IF(Pay_Num&lt;&gt;"",0,"")))</f>
        <v>0</v>
      </c>
      <c r="F193" s="70">
        <f>IF(AND(Pay_Num&lt;&gt;"",Sched_Pay+Extra_Pay&lt;Beg_Bal),Sched_Pay+Extra_Pay,IF(Pay_Num&lt;&gt;"",Beg_Bal,""))</f>
        <v>0</v>
      </c>
      <c r="G193" s="70">
        <f>IF(Pay_Num&lt;&gt;"",Total_Pay-Int,"")</f>
        <v>0</v>
      </c>
      <c r="H193" s="70">
        <f>IF(Pay_Num&lt;&gt;"",Beg_Bal*Interest_Rate/Num_Pmt_Per_Year,"")</f>
        <v>0</v>
      </c>
      <c r="I193" s="70">
        <f>IF(AND(Pay_Num&lt;&gt;"",Sched_Pay+Extra_Pay&lt;Beg_Bal),Beg_Bal-Princ,IF(Pay_Num&lt;&gt;"",0,""))</f>
        <v>0</v>
      </c>
      <c r="J193" s="70">
        <f>SUM($H$18:$H193)</f>
        <v>431201.75350020552</v>
      </c>
    </row>
    <row r="194" spans="1:10" x14ac:dyDescent="0.3">
      <c r="A194" s="36">
        <f>IF(Values_Entered,A193+1,"")</f>
        <v>177</v>
      </c>
      <c r="B194" s="35">
        <f>IF(Pay_Num&lt;&gt;"",DATE(YEAR(Loan_Start),MONTH(Loan_Start)+(Pay_Num)*12/Num_Pmt_Per_Year,DAY(Loan_Start)),"")</f>
        <v>62348</v>
      </c>
      <c r="C194" s="70">
        <f>IF(Pay_Num&lt;&gt;"",I193,"")</f>
        <v>0</v>
      </c>
      <c r="D194" s="70">
        <f>IF(Pay_Num&lt;&gt;"",Scheduled_Monthly_Payment,"")</f>
        <v>71560.087675010276</v>
      </c>
      <c r="E194" s="71">
        <f>IF(AND(Pay_Num&lt;&gt;"",Sched_Pay+Scheduled_Extra_Payments&lt;Beg_Bal),Scheduled_Extra_Payments,IF(AND(Pay_Num&lt;&gt;"",Beg_Bal-Sched_Pay&gt;0),Beg_Bal-Sched_Pay,IF(Pay_Num&lt;&gt;"",0,"")))</f>
        <v>0</v>
      </c>
      <c r="F194" s="70">
        <f>IF(AND(Pay_Num&lt;&gt;"",Sched_Pay+Extra_Pay&lt;Beg_Bal),Sched_Pay+Extra_Pay,IF(Pay_Num&lt;&gt;"",Beg_Bal,""))</f>
        <v>0</v>
      </c>
      <c r="G194" s="70">
        <f>IF(Pay_Num&lt;&gt;"",Total_Pay-Int,"")</f>
        <v>0</v>
      </c>
      <c r="H194" s="70">
        <f>IF(Pay_Num&lt;&gt;"",Beg_Bal*Interest_Rate/Num_Pmt_Per_Year,"")</f>
        <v>0</v>
      </c>
      <c r="I194" s="70">
        <f>IF(AND(Pay_Num&lt;&gt;"",Sched_Pay+Extra_Pay&lt;Beg_Bal),Beg_Bal-Princ,IF(Pay_Num&lt;&gt;"",0,""))</f>
        <v>0</v>
      </c>
      <c r="J194" s="70">
        <f>SUM($H$18:$H194)</f>
        <v>431201.75350020552</v>
      </c>
    </row>
    <row r="195" spans="1:10" x14ac:dyDescent="0.3">
      <c r="A195" s="36">
        <f>IF(Values_Entered,A194+1,"")</f>
        <v>178</v>
      </c>
      <c r="B195" s="35">
        <f>IF(Pay_Num&lt;&gt;"",DATE(YEAR(Loan_Start),MONTH(Loan_Start)+(Pay_Num)*12/Num_Pmt_Per_Year,DAY(Loan_Start)),"")</f>
        <v>62439</v>
      </c>
      <c r="C195" s="70">
        <f>IF(Pay_Num&lt;&gt;"",I194,"")</f>
        <v>0</v>
      </c>
      <c r="D195" s="70">
        <f>IF(Pay_Num&lt;&gt;"",Scheduled_Monthly_Payment,"")</f>
        <v>71560.087675010276</v>
      </c>
      <c r="E195" s="71">
        <f>IF(AND(Pay_Num&lt;&gt;"",Sched_Pay+Scheduled_Extra_Payments&lt;Beg_Bal),Scheduled_Extra_Payments,IF(AND(Pay_Num&lt;&gt;"",Beg_Bal-Sched_Pay&gt;0),Beg_Bal-Sched_Pay,IF(Pay_Num&lt;&gt;"",0,"")))</f>
        <v>0</v>
      </c>
      <c r="F195" s="70">
        <f>IF(AND(Pay_Num&lt;&gt;"",Sched_Pay+Extra_Pay&lt;Beg_Bal),Sched_Pay+Extra_Pay,IF(Pay_Num&lt;&gt;"",Beg_Bal,""))</f>
        <v>0</v>
      </c>
      <c r="G195" s="70">
        <f>IF(Pay_Num&lt;&gt;"",Total_Pay-Int,"")</f>
        <v>0</v>
      </c>
      <c r="H195" s="70">
        <f>IF(Pay_Num&lt;&gt;"",Beg_Bal*Interest_Rate/Num_Pmt_Per_Year,"")</f>
        <v>0</v>
      </c>
      <c r="I195" s="70">
        <f>IF(AND(Pay_Num&lt;&gt;"",Sched_Pay+Extra_Pay&lt;Beg_Bal),Beg_Bal-Princ,IF(Pay_Num&lt;&gt;"",0,""))</f>
        <v>0</v>
      </c>
      <c r="J195" s="70">
        <f>SUM($H$18:$H195)</f>
        <v>431201.75350020552</v>
      </c>
    </row>
    <row r="196" spans="1:10" x14ac:dyDescent="0.3">
      <c r="A196" s="36">
        <f>IF(Values_Entered,A195+1,"")</f>
        <v>179</v>
      </c>
      <c r="B196" s="35">
        <f>IF(Pay_Num&lt;&gt;"",DATE(YEAR(Loan_Start),MONTH(Loan_Start)+(Pay_Num)*12/Num_Pmt_Per_Year,DAY(Loan_Start)),"")</f>
        <v>62529</v>
      </c>
      <c r="C196" s="70">
        <f>IF(Pay_Num&lt;&gt;"",I195,"")</f>
        <v>0</v>
      </c>
      <c r="D196" s="70">
        <f>IF(Pay_Num&lt;&gt;"",Scheduled_Monthly_Payment,"")</f>
        <v>71560.087675010276</v>
      </c>
      <c r="E196" s="71">
        <f>IF(AND(Pay_Num&lt;&gt;"",Sched_Pay+Scheduled_Extra_Payments&lt;Beg_Bal),Scheduled_Extra_Payments,IF(AND(Pay_Num&lt;&gt;"",Beg_Bal-Sched_Pay&gt;0),Beg_Bal-Sched_Pay,IF(Pay_Num&lt;&gt;"",0,"")))</f>
        <v>0</v>
      </c>
      <c r="F196" s="70">
        <f>IF(AND(Pay_Num&lt;&gt;"",Sched_Pay+Extra_Pay&lt;Beg_Bal),Sched_Pay+Extra_Pay,IF(Pay_Num&lt;&gt;"",Beg_Bal,""))</f>
        <v>0</v>
      </c>
      <c r="G196" s="70">
        <f>IF(Pay_Num&lt;&gt;"",Total_Pay-Int,"")</f>
        <v>0</v>
      </c>
      <c r="H196" s="70">
        <f>IF(Pay_Num&lt;&gt;"",Beg_Bal*Interest_Rate/Num_Pmt_Per_Year,"")</f>
        <v>0</v>
      </c>
      <c r="I196" s="70">
        <f>IF(AND(Pay_Num&lt;&gt;"",Sched_Pay+Extra_Pay&lt;Beg_Bal),Beg_Bal-Princ,IF(Pay_Num&lt;&gt;"",0,""))</f>
        <v>0</v>
      </c>
      <c r="J196" s="70">
        <f>SUM($H$18:$H196)</f>
        <v>431201.75350020552</v>
      </c>
    </row>
    <row r="197" spans="1:10" x14ac:dyDescent="0.3">
      <c r="A197" s="36">
        <f>IF(Values_Entered,A196+1,"")</f>
        <v>180</v>
      </c>
      <c r="B197" s="35">
        <f>IF(Pay_Num&lt;&gt;"",DATE(YEAR(Loan_Start),MONTH(Loan_Start)+(Pay_Num)*12/Num_Pmt_Per_Year,DAY(Loan_Start)),"")</f>
        <v>62621</v>
      </c>
      <c r="C197" s="70">
        <f>IF(Pay_Num&lt;&gt;"",I196,"")</f>
        <v>0</v>
      </c>
      <c r="D197" s="70">
        <f>IF(Pay_Num&lt;&gt;"",Scheduled_Monthly_Payment,"")</f>
        <v>71560.087675010276</v>
      </c>
      <c r="E197" s="71">
        <f>IF(AND(Pay_Num&lt;&gt;"",Sched_Pay+Scheduled_Extra_Payments&lt;Beg_Bal),Scheduled_Extra_Payments,IF(AND(Pay_Num&lt;&gt;"",Beg_Bal-Sched_Pay&gt;0),Beg_Bal-Sched_Pay,IF(Pay_Num&lt;&gt;"",0,"")))</f>
        <v>0</v>
      </c>
      <c r="F197" s="70">
        <f>IF(AND(Pay_Num&lt;&gt;"",Sched_Pay+Extra_Pay&lt;Beg_Bal),Sched_Pay+Extra_Pay,IF(Pay_Num&lt;&gt;"",Beg_Bal,""))</f>
        <v>0</v>
      </c>
      <c r="G197" s="70">
        <f>IF(Pay_Num&lt;&gt;"",Total_Pay-Int,"")</f>
        <v>0</v>
      </c>
      <c r="H197" s="70">
        <f>IF(Pay_Num&lt;&gt;"",Beg_Bal*Interest_Rate/Num_Pmt_Per_Year,"")</f>
        <v>0</v>
      </c>
      <c r="I197" s="70">
        <f>IF(AND(Pay_Num&lt;&gt;"",Sched_Pay+Extra_Pay&lt;Beg_Bal),Beg_Bal-Princ,IF(Pay_Num&lt;&gt;"",0,""))</f>
        <v>0</v>
      </c>
      <c r="J197" s="70">
        <f>SUM($H$18:$H197)</f>
        <v>431201.75350020552</v>
      </c>
    </row>
    <row r="198" spans="1:10" x14ac:dyDescent="0.3">
      <c r="A198" s="36">
        <f>IF(Values_Entered,A197+1,"")</f>
        <v>181</v>
      </c>
      <c r="B198" s="35">
        <f>IF(Pay_Num&lt;&gt;"",DATE(YEAR(Loan_Start),MONTH(Loan_Start)+(Pay_Num)*12/Num_Pmt_Per_Year,DAY(Loan_Start)),"")</f>
        <v>62713</v>
      </c>
      <c r="C198" s="70">
        <f>IF(Pay_Num&lt;&gt;"",I197,"")</f>
        <v>0</v>
      </c>
      <c r="D198" s="70">
        <f>IF(Pay_Num&lt;&gt;"",Scheduled_Monthly_Payment,"")</f>
        <v>71560.087675010276</v>
      </c>
      <c r="E198" s="71">
        <f>IF(AND(Pay_Num&lt;&gt;"",Sched_Pay+Scheduled_Extra_Payments&lt;Beg_Bal),Scheduled_Extra_Payments,IF(AND(Pay_Num&lt;&gt;"",Beg_Bal-Sched_Pay&gt;0),Beg_Bal-Sched_Pay,IF(Pay_Num&lt;&gt;"",0,"")))</f>
        <v>0</v>
      </c>
      <c r="F198" s="70">
        <f>IF(AND(Pay_Num&lt;&gt;"",Sched_Pay+Extra_Pay&lt;Beg_Bal),Sched_Pay+Extra_Pay,IF(Pay_Num&lt;&gt;"",Beg_Bal,""))</f>
        <v>0</v>
      </c>
      <c r="G198" s="70">
        <f>IF(Pay_Num&lt;&gt;"",Total_Pay-Int,"")</f>
        <v>0</v>
      </c>
      <c r="H198" s="70">
        <f>IF(Pay_Num&lt;&gt;"",Beg_Bal*Interest_Rate/Num_Pmt_Per_Year,"")</f>
        <v>0</v>
      </c>
      <c r="I198" s="70">
        <f>IF(AND(Pay_Num&lt;&gt;"",Sched_Pay+Extra_Pay&lt;Beg_Bal),Beg_Bal-Princ,IF(Pay_Num&lt;&gt;"",0,""))</f>
        <v>0</v>
      </c>
      <c r="J198" s="70">
        <f>SUM($H$18:$H198)</f>
        <v>431201.75350020552</v>
      </c>
    </row>
    <row r="199" spans="1:10" x14ac:dyDescent="0.3">
      <c r="A199" s="36">
        <f>IF(Values_Entered,A198+1,"")</f>
        <v>182</v>
      </c>
      <c r="B199" s="35">
        <f>IF(Pay_Num&lt;&gt;"",DATE(YEAR(Loan_Start),MONTH(Loan_Start)+(Pay_Num)*12/Num_Pmt_Per_Year,DAY(Loan_Start)),"")</f>
        <v>62804</v>
      </c>
      <c r="C199" s="70">
        <f>IF(Pay_Num&lt;&gt;"",I198,"")</f>
        <v>0</v>
      </c>
      <c r="D199" s="70">
        <f>IF(Pay_Num&lt;&gt;"",Scheduled_Monthly_Payment,"")</f>
        <v>71560.087675010276</v>
      </c>
      <c r="E199" s="71">
        <f>IF(AND(Pay_Num&lt;&gt;"",Sched_Pay+Scheduled_Extra_Payments&lt;Beg_Bal),Scheduled_Extra_Payments,IF(AND(Pay_Num&lt;&gt;"",Beg_Bal-Sched_Pay&gt;0),Beg_Bal-Sched_Pay,IF(Pay_Num&lt;&gt;"",0,"")))</f>
        <v>0</v>
      </c>
      <c r="F199" s="70">
        <f>IF(AND(Pay_Num&lt;&gt;"",Sched_Pay+Extra_Pay&lt;Beg_Bal),Sched_Pay+Extra_Pay,IF(Pay_Num&lt;&gt;"",Beg_Bal,""))</f>
        <v>0</v>
      </c>
      <c r="G199" s="70">
        <f>IF(Pay_Num&lt;&gt;"",Total_Pay-Int,"")</f>
        <v>0</v>
      </c>
      <c r="H199" s="70">
        <f>IF(Pay_Num&lt;&gt;"",Beg_Bal*Interest_Rate/Num_Pmt_Per_Year,"")</f>
        <v>0</v>
      </c>
      <c r="I199" s="70">
        <f>IF(AND(Pay_Num&lt;&gt;"",Sched_Pay+Extra_Pay&lt;Beg_Bal),Beg_Bal-Princ,IF(Pay_Num&lt;&gt;"",0,""))</f>
        <v>0</v>
      </c>
      <c r="J199" s="70">
        <f>SUM($H$18:$H199)</f>
        <v>431201.75350020552</v>
      </c>
    </row>
    <row r="200" spans="1:10" x14ac:dyDescent="0.3">
      <c r="A200" s="36">
        <f>IF(Values_Entered,A199+1,"")</f>
        <v>183</v>
      </c>
      <c r="B200" s="35">
        <f>IF(Pay_Num&lt;&gt;"",DATE(YEAR(Loan_Start),MONTH(Loan_Start)+(Pay_Num)*12/Num_Pmt_Per_Year,DAY(Loan_Start)),"")</f>
        <v>62895</v>
      </c>
      <c r="C200" s="70">
        <f>IF(Pay_Num&lt;&gt;"",I199,"")</f>
        <v>0</v>
      </c>
      <c r="D200" s="70">
        <f>IF(Pay_Num&lt;&gt;"",Scheduled_Monthly_Payment,"")</f>
        <v>71560.087675010276</v>
      </c>
      <c r="E200" s="71">
        <f>IF(AND(Pay_Num&lt;&gt;"",Sched_Pay+Scheduled_Extra_Payments&lt;Beg_Bal),Scheduled_Extra_Payments,IF(AND(Pay_Num&lt;&gt;"",Beg_Bal-Sched_Pay&gt;0),Beg_Bal-Sched_Pay,IF(Pay_Num&lt;&gt;"",0,"")))</f>
        <v>0</v>
      </c>
      <c r="F200" s="70">
        <f>IF(AND(Pay_Num&lt;&gt;"",Sched_Pay+Extra_Pay&lt;Beg_Bal),Sched_Pay+Extra_Pay,IF(Pay_Num&lt;&gt;"",Beg_Bal,""))</f>
        <v>0</v>
      </c>
      <c r="G200" s="70">
        <f>IF(Pay_Num&lt;&gt;"",Total_Pay-Int,"")</f>
        <v>0</v>
      </c>
      <c r="H200" s="70">
        <f>IF(Pay_Num&lt;&gt;"",Beg_Bal*Interest_Rate/Num_Pmt_Per_Year,"")</f>
        <v>0</v>
      </c>
      <c r="I200" s="70">
        <f>IF(AND(Pay_Num&lt;&gt;"",Sched_Pay+Extra_Pay&lt;Beg_Bal),Beg_Bal-Princ,IF(Pay_Num&lt;&gt;"",0,""))</f>
        <v>0</v>
      </c>
      <c r="J200" s="70">
        <f>SUM($H$18:$H200)</f>
        <v>431201.75350020552</v>
      </c>
    </row>
    <row r="201" spans="1:10" x14ac:dyDescent="0.3">
      <c r="A201" s="36">
        <f>IF(Values_Entered,A200+1,"")</f>
        <v>184</v>
      </c>
      <c r="B201" s="35">
        <f>IF(Pay_Num&lt;&gt;"",DATE(YEAR(Loan_Start),MONTH(Loan_Start)+(Pay_Num)*12/Num_Pmt_Per_Year,DAY(Loan_Start)),"")</f>
        <v>62987</v>
      </c>
      <c r="C201" s="70">
        <f>IF(Pay_Num&lt;&gt;"",I200,"")</f>
        <v>0</v>
      </c>
      <c r="D201" s="70">
        <f>IF(Pay_Num&lt;&gt;"",Scheduled_Monthly_Payment,"")</f>
        <v>71560.087675010276</v>
      </c>
      <c r="E201" s="71">
        <f>IF(AND(Pay_Num&lt;&gt;"",Sched_Pay+Scheduled_Extra_Payments&lt;Beg_Bal),Scheduled_Extra_Payments,IF(AND(Pay_Num&lt;&gt;"",Beg_Bal-Sched_Pay&gt;0),Beg_Bal-Sched_Pay,IF(Pay_Num&lt;&gt;"",0,"")))</f>
        <v>0</v>
      </c>
      <c r="F201" s="70">
        <f>IF(AND(Pay_Num&lt;&gt;"",Sched_Pay+Extra_Pay&lt;Beg_Bal),Sched_Pay+Extra_Pay,IF(Pay_Num&lt;&gt;"",Beg_Bal,""))</f>
        <v>0</v>
      </c>
      <c r="G201" s="70">
        <f>IF(Pay_Num&lt;&gt;"",Total_Pay-Int,"")</f>
        <v>0</v>
      </c>
      <c r="H201" s="70">
        <f>IF(Pay_Num&lt;&gt;"",Beg_Bal*Interest_Rate/Num_Pmt_Per_Year,"")</f>
        <v>0</v>
      </c>
      <c r="I201" s="70">
        <f>IF(AND(Pay_Num&lt;&gt;"",Sched_Pay+Extra_Pay&lt;Beg_Bal),Beg_Bal-Princ,IF(Pay_Num&lt;&gt;"",0,""))</f>
        <v>0</v>
      </c>
      <c r="J201" s="70">
        <f>SUM($H$18:$H201)</f>
        <v>431201.75350020552</v>
      </c>
    </row>
    <row r="202" spans="1:10" x14ac:dyDescent="0.3">
      <c r="A202" s="36">
        <f>IF(Values_Entered,A201+1,"")</f>
        <v>185</v>
      </c>
      <c r="B202" s="35">
        <f>IF(Pay_Num&lt;&gt;"",DATE(YEAR(Loan_Start),MONTH(Loan_Start)+(Pay_Num)*12/Num_Pmt_Per_Year,DAY(Loan_Start)),"")</f>
        <v>63079</v>
      </c>
      <c r="C202" s="70">
        <f>IF(Pay_Num&lt;&gt;"",I201,"")</f>
        <v>0</v>
      </c>
      <c r="D202" s="70">
        <f>IF(Pay_Num&lt;&gt;"",Scheduled_Monthly_Payment,"")</f>
        <v>71560.087675010276</v>
      </c>
      <c r="E202" s="71">
        <f>IF(AND(Pay_Num&lt;&gt;"",Sched_Pay+Scheduled_Extra_Payments&lt;Beg_Bal),Scheduled_Extra_Payments,IF(AND(Pay_Num&lt;&gt;"",Beg_Bal-Sched_Pay&gt;0),Beg_Bal-Sched_Pay,IF(Pay_Num&lt;&gt;"",0,"")))</f>
        <v>0</v>
      </c>
      <c r="F202" s="70">
        <f>IF(AND(Pay_Num&lt;&gt;"",Sched_Pay+Extra_Pay&lt;Beg_Bal),Sched_Pay+Extra_Pay,IF(Pay_Num&lt;&gt;"",Beg_Bal,""))</f>
        <v>0</v>
      </c>
      <c r="G202" s="70">
        <f>IF(Pay_Num&lt;&gt;"",Total_Pay-Int,"")</f>
        <v>0</v>
      </c>
      <c r="H202" s="70">
        <f>IF(Pay_Num&lt;&gt;"",Beg_Bal*Interest_Rate/Num_Pmt_Per_Year,"")</f>
        <v>0</v>
      </c>
      <c r="I202" s="70">
        <f>IF(AND(Pay_Num&lt;&gt;"",Sched_Pay+Extra_Pay&lt;Beg_Bal),Beg_Bal-Princ,IF(Pay_Num&lt;&gt;"",0,""))</f>
        <v>0</v>
      </c>
      <c r="J202" s="70">
        <f>SUM($H$18:$H202)</f>
        <v>431201.75350020552</v>
      </c>
    </row>
    <row r="203" spans="1:10" x14ac:dyDescent="0.3">
      <c r="A203" s="36">
        <f>IF(Values_Entered,A202+1,"")</f>
        <v>186</v>
      </c>
      <c r="B203" s="35">
        <f>IF(Pay_Num&lt;&gt;"",DATE(YEAR(Loan_Start),MONTH(Loan_Start)+(Pay_Num)*12/Num_Pmt_Per_Year,DAY(Loan_Start)),"")</f>
        <v>63170</v>
      </c>
      <c r="C203" s="70">
        <f>IF(Pay_Num&lt;&gt;"",I202,"")</f>
        <v>0</v>
      </c>
      <c r="D203" s="70">
        <f>IF(Pay_Num&lt;&gt;"",Scheduled_Monthly_Payment,"")</f>
        <v>71560.087675010276</v>
      </c>
      <c r="E203" s="71">
        <f>IF(AND(Pay_Num&lt;&gt;"",Sched_Pay+Scheduled_Extra_Payments&lt;Beg_Bal),Scheduled_Extra_Payments,IF(AND(Pay_Num&lt;&gt;"",Beg_Bal-Sched_Pay&gt;0),Beg_Bal-Sched_Pay,IF(Pay_Num&lt;&gt;"",0,"")))</f>
        <v>0</v>
      </c>
      <c r="F203" s="70">
        <f>IF(AND(Pay_Num&lt;&gt;"",Sched_Pay+Extra_Pay&lt;Beg_Bal),Sched_Pay+Extra_Pay,IF(Pay_Num&lt;&gt;"",Beg_Bal,""))</f>
        <v>0</v>
      </c>
      <c r="G203" s="70">
        <f>IF(Pay_Num&lt;&gt;"",Total_Pay-Int,"")</f>
        <v>0</v>
      </c>
      <c r="H203" s="70">
        <f>IF(Pay_Num&lt;&gt;"",Beg_Bal*Interest_Rate/Num_Pmt_Per_Year,"")</f>
        <v>0</v>
      </c>
      <c r="I203" s="70">
        <f>IF(AND(Pay_Num&lt;&gt;"",Sched_Pay+Extra_Pay&lt;Beg_Bal),Beg_Bal-Princ,IF(Pay_Num&lt;&gt;"",0,""))</f>
        <v>0</v>
      </c>
      <c r="J203" s="70">
        <f>SUM($H$18:$H203)</f>
        <v>431201.75350020552</v>
      </c>
    </row>
    <row r="204" spans="1:10" x14ac:dyDescent="0.3">
      <c r="A204" s="36">
        <f>IF(Values_Entered,A203+1,"")</f>
        <v>187</v>
      </c>
      <c r="B204" s="35">
        <f>IF(Pay_Num&lt;&gt;"",DATE(YEAR(Loan_Start),MONTH(Loan_Start)+(Pay_Num)*12/Num_Pmt_Per_Year,DAY(Loan_Start)),"")</f>
        <v>63260</v>
      </c>
      <c r="C204" s="70">
        <f>IF(Pay_Num&lt;&gt;"",I203,"")</f>
        <v>0</v>
      </c>
      <c r="D204" s="70">
        <f>IF(Pay_Num&lt;&gt;"",Scheduled_Monthly_Payment,"")</f>
        <v>71560.087675010276</v>
      </c>
      <c r="E204" s="71">
        <f>IF(AND(Pay_Num&lt;&gt;"",Sched_Pay+Scheduled_Extra_Payments&lt;Beg_Bal),Scheduled_Extra_Payments,IF(AND(Pay_Num&lt;&gt;"",Beg_Bal-Sched_Pay&gt;0),Beg_Bal-Sched_Pay,IF(Pay_Num&lt;&gt;"",0,"")))</f>
        <v>0</v>
      </c>
      <c r="F204" s="70">
        <f>IF(AND(Pay_Num&lt;&gt;"",Sched_Pay+Extra_Pay&lt;Beg_Bal),Sched_Pay+Extra_Pay,IF(Pay_Num&lt;&gt;"",Beg_Bal,""))</f>
        <v>0</v>
      </c>
      <c r="G204" s="70">
        <f>IF(Pay_Num&lt;&gt;"",Total_Pay-Int,"")</f>
        <v>0</v>
      </c>
      <c r="H204" s="70">
        <f>IF(Pay_Num&lt;&gt;"",Beg_Bal*Interest_Rate/Num_Pmt_Per_Year,"")</f>
        <v>0</v>
      </c>
      <c r="I204" s="70">
        <f>IF(AND(Pay_Num&lt;&gt;"",Sched_Pay+Extra_Pay&lt;Beg_Bal),Beg_Bal-Princ,IF(Pay_Num&lt;&gt;"",0,""))</f>
        <v>0</v>
      </c>
      <c r="J204" s="70">
        <f>SUM($H$18:$H204)</f>
        <v>431201.75350020552</v>
      </c>
    </row>
    <row r="205" spans="1:10" x14ac:dyDescent="0.3">
      <c r="A205" s="36">
        <f>IF(Values_Entered,A204+1,"")</f>
        <v>188</v>
      </c>
      <c r="B205" s="35">
        <f>IF(Pay_Num&lt;&gt;"",DATE(YEAR(Loan_Start),MONTH(Loan_Start)+(Pay_Num)*12/Num_Pmt_Per_Year,DAY(Loan_Start)),"")</f>
        <v>63352</v>
      </c>
      <c r="C205" s="70">
        <f>IF(Pay_Num&lt;&gt;"",I204,"")</f>
        <v>0</v>
      </c>
      <c r="D205" s="70">
        <f>IF(Pay_Num&lt;&gt;"",Scheduled_Monthly_Payment,"")</f>
        <v>71560.087675010276</v>
      </c>
      <c r="E205" s="71">
        <f>IF(AND(Pay_Num&lt;&gt;"",Sched_Pay+Scheduled_Extra_Payments&lt;Beg_Bal),Scheduled_Extra_Payments,IF(AND(Pay_Num&lt;&gt;"",Beg_Bal-Sched_Pay&gt;0),Beg_Bal-Sched_Pay,IF(Pay_Num&lt;&gt;"",0,"")))</f>
        <v>0</v>
      </c>
      <c r="F205" s="70">
        <f>IF(AND(Pay_Num&lt;&gt;"",Sched_Pay+Extra_Pay&lt;Beg_Bal),Sched_Pay+Extra_Pay,IF(Pay_Num&lt;&gt;"",Beg_Bal,""))</f>
        <v>0</v>
      </c>
      <c r="G205" s="70">
        <f>IF(Pay_Num&lt;&gt;"",Total_Pay-Int,"")</f>
        <v>0</v>
      </c>
      <c r="H205" s="70">
        <f>IF(Pay_Num&lt;&gt;"",Beg_Bal*Interest_Rate/Num_Pmt_Per_Year,"")</f>
        <v>0</v>
      </c>
      <c r="I205" s="70">
        <f>IF(AND(Pay_Num&lt;&gt;"",Sched_Pay+Extra_Pay&lt;Beg_Bal),Beg_Bal-Princ,IF(Pay_Num&lt;&gt;"",0,""))</f>
        <v>0</v>
      </c>
      <c r="J205" s="70">
        <f>SUM($H$18:$H205)</f>
        <v>431201.75350020552</v>
      </c>
    </row>
    <row r="206" spans="1:10" x14ac:dyDescent="0.3">
      <c r="A206" s="36">
        <f>IF(Values_Entered,A205+1,"")</f>
        <v>189</v>
      </c>
      <c r="B206" s="35">
        <f>IF(Pay_Num&lt;&gt;"",DATE(YEAR(Loan_Start),MONTH(Loan_Start)+(Pay_Num)*12/Num_Pmt_Per_Year,DAY(Loan_Start)),"")</f>
        <v>63444</v>
      </c>
      <c r="C206" s="70">
        <f>IF(Pay_Num&lt;&gt;"",I205,"")</f>
        <v>0</v>
      </c>
      <c r="D206" s="70">
        <f>IF(Pay_Num&lt;&gt;"",Scheduled_Monthly_Payment,"")</f>
        <v>71560.087675010276</v>
      </c>
      <c r="E206" s="71">
        <f>IF(AND(Pay_Num&lt;&gt;"",Sched_Pay+Scheduled_Extra_Payments&lt;Beg_Bal),Scheduled_Extra_Payments,IF(AND(Pay_Num&lt;&gt;"",Beg_Bal-Sched_Pay&gt;0),Beg_Bal-Sched_Pay,IF(Pay_Num&lt;&gt;"",0,"")))</f>
        <v>0</v>
      </c>
      <c r="F206" s="70">
        <f>IF(AND(Pay_Num&lt;&gt;"",Sched_Pay+Extra_Pay&lt;Beg_Bal),Sched_Pay+Extra_Pay,IF(Pay_Num&lt;&gt;"",Beg_Bal,""))</f>
        <v>0</v>
      </c>
      <c r="G206" s="70">
        <f>IF(Pay_Num&lt;&gt;"",Total_Pay-Int,"")</f>
        <v>0</v>
      </c>
      <c r="H206" s="70">
        <f>IF(Pay_Num&lt;&gt;"",Beg_Bal*Interest_Rate/Num_Pmt_Per_Year,"")</f>
        <v>0</v>
      </c>
      <c r="I206" s="70">
        <f>IF(AND(Pay_Num&lt;&gt;"",Sched_Pay+Extra_Pay&lt;Beg_Bal),Beg_Bal-Princ,IF(Pay_Num&lt;&gt;"",0,""))</f>
        <v>0</v>
      </c>
      <c r="J206" s="70">
        <f>SUM($H$18:$H206)</f>
        <v>431201.75350020552</v>
      </c>
    </row>
    <row r="207" spans="1:10" x14ac:dyDescent="0.3">
      <c r="A207" s="36">
        <f>IF(Values_Entered,A206+1,"")</f>
        <v>190</v>
      </c>
      <c r="B207" s="35">
        <f>IF(Pay_Num&lt;&gt;"",DATE(YEAR(Loan_Start),MONTH(Loan_Start)+(Pay_Num)*12/Num_Pmt_Per_Year,DAY(Loan_Start)),"")</f>
        <v>63535</v>
      </c>
      <c r="C207" s="70">
        <f>IF(Pay_Num&lt;&gt;"",I206,"")</f>
        <v>0</v>
      </c>
      <c r="D207" s="70">
        <f>IF(Pay_Num&lt;&gt;"",Scheduled_Monthly_Payment,"")</f>
        <v>71560.087675010276</v>
      </c>
      <c r="E207" s="71">
        <f>IF(AND(Pay_Num&lt;&gt;"",Sched_Pay+Scheduled_Extra_Payments&lt;Beg_Bal),Scheduled_Extra_Payments,IF(AND(Pay_Num&lt;&gt;"",Beg_Bal-Sched_Pay&gt;0),Beg_Bal-Sched_Pay,IF(Pay_Num&lt;&gt;"",0,"")))</f>
        <v>0</v>
      </c>
      <c r="F207" s="70">
        <f>IF(AND(Pay_Num&lt;&gt;"",Sched_Pay+Extra_Pay&lt;Beg_Bal),Sched_Pay+Extra_Pay,IF(Pay_Num&lt;&gt;"",Beg_Bal,""))</f>
        <v>0</v>
      </c>
      <c r="G207" s="70">
        <f>IF(Pay_Num&lt;&gt;"",Total_Pay-Int,"")</f>
        <v>0</v>
      </c>
      <c r="H207" s="70">
        <f>IF(Pay_Num&lt;&gt;"",Beg_Bal*Interest_Rate/Num_Pmt_Per_Year,"")</f>
        <v>0</v>
      </c>
      <c r="I207" s="70">
        <f>IF(AND(Pay_Num&lt;&gt;"",Sched_Pay+Extra_Pay&lt;Beg_Bal),Beg_Bal-Princ,IF(Pay_Num&lt;&gt;"",0,""))</f>
        <v>0</v>
      </c>
      <c r="J207" s="70">
        <f>SUM($H$18:$H207)</f>
        <v>431201.75350020552</v>
      </c>
    </row>
    <row r="208" spans="1:10" x14ac:dyDescent="0.3">
      <c r="A208" s="36">
        <f>IF(Values_Entered,A207+1,"")</f>
        <v>191</v>
      </c>
      <c r="B208" s="35">
        <f>IF(Pay_Num&lt;&gt;"",DATE(YEAR(Loan_Start),MONTH(Loan_Start)+(Pay_Num)*12/Num_Pmt_Per_Year,DAY(Loan_Start)),"")</f>
        <v>63625</v>
      </c>
      <c r="C208" s="70">
        <f>IF(Pay_Num&lt;&gt;"",I207,"")</f>
        <v>0</v>
      </c>
      <c r="D208" s="70">
        <f>IF(Pay_Num&lt;&gt;"",Scheduled_Monthly_Payment,"")</f>
        <v>71560.087675010276</v>
      </c>
      <c r="E208" s="71">
        <f>IF(AND(Pay_Num&lt;&gt;"",Sched_Pay+Scheduled_Extra_Payments&lt;Beg_Bal),Scheduled_Extra_Payments,IF(AND(Pay_Num&lt;&gt;"",Beg_Bal-Sched_Pay&gt;0),Beg_Bal-Sched_Pay,IF(Pay_Num&lt;&gt;"",0,"")))</f>
        <v>0</v>
      </c>
      <c r="F208" s="70">
        <f>IF(AND(Pay_Num&lt;&gt;"",Sched_Pay+Extra_Pay&lt;Beg_Bal),Sched_Pay+Extra_Pay,IF(Pay_Num&lt;&gt;"",Beg_Bal,""))</f>
        <v>0</v>
      </c>
      <c r="G208" s="70">
        <f>IF(Pay_Num&lt;&gt;"",Total_Pay-Int,"")</f>
        <v>0</v>
      </c>
      <c r="H208" s="70">
        <f>IF(Pay_Num&lt;&gt;"",Beg_Bal*Interest_Rate/Num_Pmt_Per_Year,"")</f>
        <v>0</v>
      </c>
      <c r="I208" s="70">
        <f>IF(AND(Pay_Num&lt;&gt;"",Sched_Pay+Extra_Pay&lt;Beg_Bal),Beg_Bal-Princ,IF(Pay_Num&lt;&gt;"",0,""))</f>
        <v>0</v>
      </c>
      <c r="J208" s="70">
        <f>SUM($H$18:$H208)</f>
        <v>431201.75350020552</v>
      </c>
    </row>
    <row r="209" spans="1:10" x14ac:dyDescent="0.3">
      <c r="A209" s="36">
        <f>IF(Values_Entered,A208+1,"")</f>
        <v>192</v>
      </c>
      <c r="B209" s="35">
        <f>IF(Pay_Num&lt;&gt;"",DATE(YEAR(Loan_Start),MONTH(Loan_Start)+(Pay_Num)*12/Num_Pmt_Per_Year,DAY(Loan_Start)),"")</f>
        <v>63717</v>
      </c>
      <c r="C209" s="70">
        <f>IF(Pay_Num&lt;&gt;"",I208,"")</f>
        <v>0</v>
      </c>
      <c r="D209" s="70">
        <f>IF(Pay_Num&lt;&gt;"",Scheduled_Monthly_Payment,"")</f>
        <v>71560.087675010276</v>
      </c>
      <c r="E209" s="71">
        <f>IF(AND(Pay_Num&lt;&gt;"",Sched_Pay+Scheduled_Extra_Payments&lt;Beg_Bal),Scheduled_Extra_Payments,IF(AND(Pay_Num&lt;&gt;"",Beg_Bal-Sched_Pay&gt;0),Beg_Bal-Sched_Pay,IF(Pay_Num&lt;&gt;"",0,"")))</f>
        <v>0</v>
      </c>
      <c r="F209" s="70">
        <f>IF(AND(Pay_Num&lt;&gt;"",Sched_Pay+Extra_Pay&lt;Beg_Bal),Sched_Pay+Extra_Pay,IF(Pay_Num&lt;&gt;"",Beg_Bal,""))</f>
        <v>0</v>
      </c>
      <c r="G209" s="70">
        <f>IF(Pay_Num&lt;&gt;"",Total_Pay-Int,"")</f>
        <v>0</v>
      </c>
      <c r="H209" s="70">
        <f>IF(Pay_Num&lt;&gt;"",Beg_Bal*Interest_Rate/Num_Pmt_Per_Year,"")</f>
        <v>0</v>
      </c>
      <c r="I209" s="70">
        <f>IF(AND(Pay_Num&lt;&gt;"",Sched_Pay+Extra_Pay&lt;Beg_Bal),Beg_Bal-Princ,IF(Pay_Num&lt;&gt;"",0,""))</f>
        <v>0</v>
      </c>
      <c r="J209" s="70">
        <f>SUM($H$18:$H209)</f>
        <v>431201.75350020552</v>
      </c>
    </row>
    <row r="210" spans="1:10" x14ac:dyDescent="0.3">
      <c r="A210" s="36">
        <f>IF(Values_Entered,A209+1,"")</f>
        <v>193</v>
      </c>
      <c r="B210" s="35">
        <f>IF(Pay_Num&lt;&gt;"",DATE(YEAR(Loan_Start),MONTH(Loan_Start)+(Pay_Num)*12/Num_Pmt_Per_Year,DAY(Loan_Start)),"")</f>
        <v>63809</v>
      </c>
      <c r="C210" s="70">
        <f>IF(Pay_Num&lt;&gt;"",I209,"")</f>
        <v>0</v>
      </c>
      <c r="D210" s="70">
        <f>IF(Pay_Num&lt;&gt;"",Scheduled_Monthly_Payment,"")</f>
        <v>71560.087675010276</v>
      </c>
      <c r="E210" s="71">
        <f>IF(AND(Pay_Num&lt;&gt;"",Sched_Pay+Scheduled_Extra_Payments&lt;Beg_Bal),Scheduled_Extra_Payments,IF(AND(Pay_Num&lt;&gt;"",Beg_Bal-Sched_Pay&gt;0),Beg_Bal-Sched_Pay,IF(Pay_Num&lt;&gt;"",0,"")))</f>
        <v>0</v>
      </c>
      <c r="F210" s="70">
        <f>IF(AND(Pay_Num&lt;&gt;"",Sched_Pay+Extra_Pay&lt;Beg_Bal),Sched_Pay+Extra_Pay,IF(Pay_Num&lt;&gt;"",Beg_Bal,""))</f>
        <v>0</v>
      </c>
      <c r="G210" s="70">
        <f>IF(Pay_Num&lt;&gt;"",Total_Pay-Int,"")</f>
        <v>0</v>
      </c>
      <c r="H210" s="70">
        <f>IF(Pay_Num&lt;&gt;"",Beg_Bal*Interest_Rate/Num_Pmt_Per_Year,"")</f>
        <v>0</v>
      </c>
      <c r="I210" s="70">
        <f>IF(AND(Pay_Num&lt;&gt;"",Sched_Pay+Extra_Pay&lt;Beg_Bal),Beg_Bal-Princ,IF(Pay_Num&lt;&gt;"",0,""))</f>
        <v>0</v>
      </c>
      <c r="J210" s="70">
        <f>SUM($H$18:$H210)</f>
        <v>431201.75350020552</v>
      </c>
    </row>
    <row r="211" spans="1:10" x14ac:dyDescent="0.3">
      <c r="A211" s="36">
        <f>IF(Values_Entered,A210+1,"")</f>
        <v>194</v>
      </c>
      <c r="B211" s="35">
        <f>IF(Pay_Num&lt;&gt;"",DATE(YEAR(Loan_Start),MONTH(Loan_Start)+(Pay_Num)*12/Num_Pmt_Per_Year,DAY(Loan_Start)),"")</f>
        <v>63900</v>
      </c>
      <c r="C211" s="70">
        <f>IF(Pay_Num&lt;&gt;"",I210,"")</f>
        <v>0</v>
      </c>
      <c r="D211" s="70">
        <f>IF(Pay_Num&lt;&gt;"",Scheduled_Monthly_Payment,"")</f>
        <v>71560.087675010276</v>
      </c>
      <c r="E211" s="71">
        <f>IF(AND(Pay_Num&lt;&gt;"",Sched_Pay+Scheduled_Extra_Payments&lt;Beg_Bal),Scheduled_Extra_Payments,IF(AND(Pay_Num&lt;&gt;"",Beg_Bal-Sched_Pay&gt;0),Beg_Bal-Sched_Pay,IF(Pay_Num&lt;&gt;"",0,"")))</f>
        <v>0</v>
      </c>
      <c r="F211" s="70">
        <f>IF(AND(Pay_Num&lt;&gt;"",Sched_Pay+Extra_Pay&lt;Beg_Bal),Sched_Pay+Extra_Pay,IF(Pay_Num&lt;&gt;"",Beg_Bal,""))</f>
        <v>0</v>
      </c>
      <c r="G211" s="70">
        <f>IF(Pay_Num&lt;&gt;"",Total_Pay-Int,"")</f>
        <v>0</v>
      </c>
      <c r="H211" s="70">
        <f>IF(Pay_Num&lt;&gt;"",Beg_Bal*Interest_Rate/Num_Pmt_Per_Year,"")</f>
        <v>0</v>
      </c>
      <c r="I211" s="70">
        <f>IF(AND(Pay_Num&lt;&gt;"",Sched_Pay+Extra_Pay&lt;Beg_Bal),Beg_Bal-Princ,IF(Pay_Num&lt;&gt;"",0,""))</f>
        <v>0</v>
      </c>
      <c r="J211" s="70">
        <f>SUM($H$18:$H211)</f>
        <v>431201.75350020552</v>
      </c>
    </row>
    <row r="212" spans="1:10" x14ac:dyDescent="0.3">
      <c r="A212" s="36">
        <f>IF(Values_Entered,A211+1,"")</f>
        <v>195</v>
      </c>
      <c r="B212" s="35">
        <f>IF(Pay_Num&lt;&gt;"",DATE(YEAR(Loan_Start),MONTH(Loan_Start)+(Pay_Num)*12/Num_Pmt_Per_Year,DAY(Loan_Start)),"")</f>
        <v>63990</v>
      </c>
      <c r="C212" s="70">
        <f>IF(Pay_Num&lt;&gt;"",I211,"")</f>
        <v>0</v>
      </c>
      <c r="D212" s="70">
        <f>IF(Pay_Num&lt;&gt;"",Scheduled_Monthly_Payment,"")</f>
        <v>71560.087675010276</v>
      </c>
      <c r="E212" s="71">
        <f>IF(AND(Pay_Num&lt;&gt;"",Sched_Pay+Scheduled_Extra_Payments&lt;Beg_Bal),Scheduled_Extra_Payments,IF(AND(Pay_Num&lt;&gt;"",Beg_Bal-Sched_Pay&gt;0),Beg_Bal-Sched_Pay,IF(Pay_Num&lt;&gt;"",0,"")))</f>
        <v>0</v>
      </c>
      <c r="F212" s="70">
        <f>IF(AND(Pay_Num&lt;&gt;"",Sched_Pay+Extra_Pay&lt;Beg_Bal),Sched_Pay+Extra_Pay,IF(Pay_Num&lt;&gt;"",Beg_Bal,""))</f>
        <v>0</v>
      </c>
      <c r="G212" s="70">
        <f>IF(Pay_Num&lt;&gt;"",Total_Pay-Int,"")</f>
        <v>0</v>
      </c>
      <c r="H212" s="70">
        <f>IF(Pay_Num&lt;&gt;"",Beg_Bal*Interest_Rate/Num_Pmt_Per_Year,"")</f>
        <v>0</v>
      </c>
      <c r="I212" s="70">
        <f>IF(AND(Pay_Num&lt;&gt;"",Sched_Pay+Extra_Pay&lt;Beg_Bal),Beg_Bal-Princ,IF(Pay_Num&lt;&gt;"",0,""))</f>
        <v>0</v>
      </c>
      <c r="J212" s="70">
        <f>SUM($H$18:$H212)</f>
        <v>431201.75350020552</v>
      </c>
    </row>
    <row r="213" spans="1:10" x14ac:dyDescent="0.3">
      <c r="A213" s="36">
        <f>IF(Values_Entered,A212+1,"")</f>
        <v>196</v>
      </c>
      <c r="B213" s="35">
        <f>IF(Pay_Num&lt;&gt;"",DATE(YEAR(Loan_Start),MONTH(Loan_Start)+(Pay_Num)*12/Num_Pmt_Per_Year,DAY(Loan_Start)),"")</f>
        <v>64082</v>
      </c>
      <c r="C213" s="70">
        <f>IF(Pay_Num&lt;&gt;"",I212,"")</f>
        <v>0</v>
      </c>
      <c r="D213" s="70">
        <f>IF(Pay_Num&lt;&gt;"",Scheduled_Monthly_Payment,"")</f>
        <v>71560.087675010276</v>
      </c>
      <c r="E213" s="71">
        <f>IF(AND(Pay_Num&lt;&gt;"",Sched_Pay+Scheduled_Extra_Payments&lt;Beg_Bal),Scheduled_Extra_Payments,IF(AND(Pay_Num&lt;&gt;"",Beg_Bal-Sched_Pay&gt;0),Beg_Bal-Sched_Pay,IF(Pay_Num&lt;&gt;"",0,"")))</f>
        <v>0</v>
      </c>
      <c r="F213" s="70">
        <f>IF(AND(Pay_Num&lt;&gt;"",Sched_Pay+Extra_Pay&lt;Beg_Bal),Sched_Pay+Extra_Pay,IF(Pay_Num&lt;&gt;"",Beg_Bal,""))</f>
        <v>0</v>
      </c>
      <c r="G213" s="70">
        <f>IF(Pay_Num&lt;&gt;"",Total_Pay-Int,"")</f>
        <v>0</v>
      </c>
      <c r="H213" s="70">
        <f>IF(Pay_Num&lt;&gt;"",Beg_Bal*Interest_Rate/Num_Pmt_Per_Year,"")</f>
        <v>0</v>
      </c>
      <c r="I213" s="70">
        <f>IF(AND(Pay_Num&lt;&gt;"",Sched_Pay+Extra_Pay&lt;Beg_Bal),Beg_Bal-Princ,IF(Pay_Num&lt;&gt;"",0,""))</f>
        <v>0</v>
      </c>
      <c r="J213" s="70">
        <f>SUM($H$18:$H213)</f>
        <v>431201.75350020552</v>
      </c>
    </row>
    <row r="214" spans="1:10" x14ac:dyDescent="0.3">
      <c r="A214" s="36">
        <f>IF(Values_Entered,A213+1,"")</f>
        <v>197</v>
      </c>
      <c r="B214" s="35">
        <f>IF(Pay_Num&lt;&gt;"",DATE(YEAR(Loan_Start),MONTH(Loan_Start)+(Pay_Num)*12/Num_Pmt_Per_Year,DAY(Loan_Start)),"")</f>
        <v>64174</v>
      </c>
      <c r="C214" s="70">
        <f>IF(Pay_Num&lt;&gt;"",I213,"")</f>
        <v>0</v>
      </c>
      <c r="D214" s="70">
        <f>IF(Pay_Num&lt;&gt;"",Scheduled_Monthly_Payment,"")</f>
        <v>71560.087675010276</v>
      </c>
      <c r="E214" s="71">
        <f>IF(AND(Pay_Num&lt;&gt;"",Sched_Pay+Scheduled_Extra_Payments&lt;Beg_Bal),Scheduled_Extra_Payments,IF(AND(Pay_Num&lt;&gt;"",Beg_Bal-Sched_Pay&gt;0),Beg_Bal-Sched_Pay,IF(Pay_Num&lt;&gt;"",0,"")))</f>
        <v>0</v>
      </c>
      <c r="F214" s="70">
        <f>IF(AND(Pay_Num&lt;&gt;"",Sched_Pay+Extra_Pay&lt;Beg_Bal),Sched_Pay+Extra_Pay,IF(Pay_Num&lt;&gt;"",Beg_Bal,""))</f>
        <v>0</v>
      </c>
      <c r="G214" s="70">
        <f>IF(Pay_Num&lt;&gt;"",Total_Pay-Int,"")</f>
        <v>0</v>
      </c>
      <c r="H214" s="70">
        <f>IF(Pay_Num&lt;&gt;"",Beg_Bal*Interest_Rate/Num_Pmt_Per_Year,"")</f>
        <v>0</v>
      </c>
      <c r="I214" s="70">
        <f>IF(AND(Pay_Num&lt;&gt;"",Sched_Pay+Extra_Pay&lt;Beg_Bal),Beg_Bal-Princ,IF(Pay_Num&lt;&gt;"",0,""))</f>
        <v>0</v>
      </c>
      <c r="J214" s="70">
        <f>SUM($H$18:$H214)</f>
        <v>431201.75350020552</v>
      </c>
    </row>
    <row r="215" spans="1:10" x14ac:dyDescent="0.3">
      <c r="A215" s="36">
        <f>IF(Values_Entered,A214+1,"")</f>
        <v>198</v>
      </c>
      <c r="B215" s="35">
        <f>IF(Pay_Num&lt;&gt;"",DATE(YEAR(Loan_Start),MONTH(Loan_Start)+(Pay_Num)*12/Num_Pmt_Per_Year,DAY(Loan_Start)),"")</f>
        <v>64265</v>
      </c>
      <c r="C215" s="70">
        <f>IF(Pay_Num&lt;&gt;"",I214,"")</f>
        <v>0</v>
      </c>
      <c r="D215" s="70">
        <f>IF(Pay_Num&lt;&gt;"",Scheduled_Monthly_Payment,"")</f>
        <v>71560.087675010276</v>
      </c>
      <c r="E215" s="71">
        <f>IF(AND(Pay_Num&lt;&gt;"",Sched_Pay+Scheduled_Extra_Payments&lt;Beg_Bal),Scheduled_Extra_Payments,IF(AND(Pay_Num&lt;&gt;"",Beg_Bal-Sched_Pay&gt;0),Beg_Bal-Sched_Pay,IF(Pay_Num&lt;&gt;"",0,"")))</f>
        <v>0</v>
      </c>
      <c r="F215" s="70">
        <f>IF(AND(Pay_Num&lt;&gt;"",Sched_Pay+Extra_Pay&lt;Beg_Bal),Sched_Pay+Extra_Pay,IF(Pay_Num&lt;&gt;"",Beg_Bal,""))</f>
        <v>0</v>
      </c>
      <c r="G215" s="70">
        <f>IF(Pay_Num&lt;&gt;"",Total_Pay-Int,"")</f>
        <v>0</v>
      </c>
      <c r="H215" s="70">
        <f>IF(Pay_Num&lt;&gt;"",Beg_Bal*Interest_Rate/Num_Pmt_Per_Year,"")</f>
        <v>0</v>
      </c>
      <c r="I215" s="70">
        <f>IF(AND(Pay_Num&lt;&gt;"",Sched_Pay+Extra_Pay&lt;Beg_Bal),Beg_Bal-Princ,IF(Pay_Num&lt;&gt;"",0,""))</f>
        <v>0</v>
      </c>
      <c r="J215" s="70">
        <f>SUM($H$18:$H215)</f>
        <v>431201.75350020552</v>
      </c>
    </row>
    <row r="216" spans="1:10" x14ac:dyDescent="0.3">
      <c r="A216" s="36">
        <f>IF(Values_Entered,A215+1,"")</f>
        <v>199</v>
      </c>
      <c r="B216" s="35">
        <f>IF(Pay_Num&lt;&gt;"",DATE(YEAR(Loan_Start),MONTH(Loan_Start)+(Pay_Num)*12/Num_Pmt_Per_Year,DAY(Loan_Start)),"")</f>
        <v>64356</v>
      </c>
      <c r="C216" s="70">
        <f>IF(Pay_Num&lt;&gt;"",I215,"")</f>
        <v>0</v>
      </c>
      <c r="D216" s="70">
        <f>IF(Pay_Num&lt;&gt;"",Scheduled_Monthly_Payment,"")</f>
        <v>71560.087675010276</v>
      </c>
      <c r="E216" s="71">
        <f>IF(AND(Pay_Num&lt;&gt;"",Sched_Pay+Scheduled_Extra_Payments&lt;Beg_Bal),Scheduled_Extra_Payments,IF(AND(Pay_Num&lt;&gt;"",Beg_Bal-Sched_Pay&gt;0),Beg_Bal-Sched_Pay,IF(Pay_Num&lt;&gt;"",0,"")))</f>
        <v>0</v>
      </c>
      <c r="F216" s="70">
        <f>IF(AND(Pay_Num&lt;&gt;"",Sched_Pay+Extra_Pay&lt;Beg_Bal),Sched_Pay+Extra_Pay,IF(Pay_Num&lt;&gt;"",Beg_Bal,""))</f>
        <v>0</v>
      </c>
      <c r="G216" s="70">
        <f>IF(Pay_Num&lt;&gt;"",Total_Pay-Int,"")</f>
        <v>0</v>
      </c>
      <c r="H216" s="70">
        <f>IF(Pay_Num&lt;&gt;"",Beg_Bal*Interest_Rate/Num_Pmt_Per_Year,"")</f>
        <v>0</v>
      </c>
      <c r="I216" s="70">
        <f>IF(AND(Pay_Num&lt;&gt;"",Sched_Pay+Extra_Pay&lt;Beg_Bal),Beg_Bal-Princ,IF(Pay_Num&lt;&gt;"",0,""))</f>
        <v>0</v>
      </c>
      <c r="J216" s="70">
        <f>SUM($H$18:$H216)</f>
        <v>431201.75350020552</v>
      </c>
    </row>
    <row r="217" spans="1:10" x14ac:dyDescent="0.3">
      <c r="A217" s="36">
        <f>IF(Values_Entered,A216+1,"")</f>
        <v>200</v>
      </c>
      <c r="B217" s="35">
        <f>IF(Pay_Num&lt;&gt;"",DATE(YEAR(Loan_Start),MONTH(Loan_Start)+(Pay_Num)*12/Num_Pmt_Per_Year,DAY(Loan_Start)),"")</f>
        <v>64448</v>
      </c>
      <c r="C217" s="70">
        <f>IF(Pay_Num&lt;&gt;"",I216,"")</f>
        <v>0</v>
      </c>
      <c r="D217" s="70">
        <f>IF(Pay_Num&lt;&gt;"",Scheduled_Monthly_Payment,"")</f>
        <v>71560.087675010276</v>
      </c>
      <c r="E217" s="71">
        <f>IF(AND(Pay_Num&lt;&gt;"",Sched_Pay+Scheduled_Extra_Payments&lt;Beg_Bal),Scheduled_Extra_Payments,IF(AND(Pay_Num&lt;&gt;"",Beg_Bal-Sched_Pay&gt;0),Beg_Bal-Sched_Pay,IF(Pay_Num&lt;&gt;"",0,"")))</f>
        <v>0</v>
      </c>
      <c r="F217" s="70">
        <f>IF(AND(Pay_Num&lt;&gt;"",Sched_Pay+Extra_Pay&lt;Beg_Bal),Sched_Pay+Extra_Pay,IF(Pay_Num&lt;&gt;"",Beg_Bal,""))</f>
        <v>0</v>
      </c>
      <c r="G217" s="70">
        <f>IF(Pay_Num&lt;&gt;"",Total_Pay-Int,"")</f>
        <v>0</v>
      </c>
      <c r="H217" s="70">
        <f>IF(Pay_Num&lt;&gt;"",Beg_Bal*Interest_Rate/Num_Pmt_Per_Year,"")</f>
        <v>0</v>
      </c>
      <c r="I217" s="70">
        <f>IF(AND(Pay_Num&lt;&gt;"",Sched_Pay+Extra_Pay&lt;Beg_Bal),Beg_Bal-Princ,IF(Pay_Num&lt;&gt;"",0,""))</f>
        <v>0</v>
      </c>
      <c r="J217" s="70">
        <f>SUM($H$18:$H217)</f>
        <v>431201.75350020552</v>
      </c>
    </row>
    <row r="218" spans="1:10" x14ac:dyDescent="0.3">
      <c r="A218" s="36">
        <f>IF(Values_Entered,A217+1,"")</f>
        <v>201</v>
      </c>
      <c r="B218" s="35">
        <f>IF(Pay_Num&lt;&gt;"",DATE(YEAR(Loan_Start),MONTH(Loan_Start)+(Pay_Num)*12/Num_Pmt_Per_Year,DAY(Loan_Start)),"")</f>
        <v>64540</v>
      </c>
      <c r="C218" s="70">
        <f>IF(Pay_Num&lt;&gt;"",I217,"")</f>
        <v>0</v>
      </c>
      <c r="D218" s="70">
        <f>IF(Pay_Num&lt;&gt;"",Scheduled_Monthly_Payment,"")</f>
        <v>71560.087675010276</v>
      </c>
      <c r="E218" s="71">
        <f>IF(AND(Pay_Num&lt;&gt;"",Sched_Pay+Scheduled_Extra_Payments&lt;Beg_Bal),Scheduled_Extra_Payments,IF(AND(Pay_Num&lt;&gt;"",Beg_Bal-Sched_Pay&gt;0),Beg_Bal-Sched_Pay,IF(Pay_Num&lt;&gt;"",0,"")))</f>
        <v>0</v>
      </c>
      <c r="F218" s="70">
        <f>IF(AND(Pay_Num&lt;&gt;"",Sched_Pay+Extra_Pay&lt;Beg_Bal),Sched_Pay+Extra_Pay,IF(Pay_Num&lt;&gt;"",Beg_Bal,""))</f>
        <v>0</v>
      </c>
      <c r="G218" s="70">
        <f>IF(Pay_Num&lt;&gt;"",Total_Pay-Int,"")</f>
        <v>0</v>
      </c>
      <c r="H218" s="70">
        <f>IF(Pay_Num&lt;&gt;"",Beg_Bal*Interest_Rate/Num_Pmt_Per_Year,"")</f>
        <v>0</v>
      </c>
      <c r="I218" s="70">
        <f>IF(AND(Pay_Num&lt;&gt;"",Sched_Pay+Extra_Pay&lt;Beg_Bal),Beg_Bal-Princ,IF(Pay_Num&lt;&gt;"",0,""))</f>
        <v>0</v>
      </c>
      <c r="J218" s="70">
        <f>SUM($H$18:$H218)</f>
        <v>431201.75350020552</v>
      </c>
    </row>
    <row r="219" spans="1:10" x14ac:dyDescent="0.3">
      <c r="A219" s="36">
        <f>IF(Values_Entered,A218+1,"")</f>
        <v>202</v>
      </c>
      <c r="B219" s="35">
        <f>IF(Pay_Num&lt;&gt;"",DATE(YEAR(Loan_Start),MONTH(Loan_Start)+(Pay_Num)*12/Num_Pmt_Per_Year,DAY(Loan_Start)),"")</f>
        <v>64631</v>
      </c>
      <c r="C219" s="70">
        <f>IF(Pay_Num&lt;&gt;"",I218,"")</f>
        <v>0</v>
      </c>
      <c r="D219" s="70">
        <f>IF(Pay_Num&lt;&gt;"",Scheduled_Monthly_Payment,"")</f>
        <v>71560.087675010276</v>
      </c>
      <c r="E219" s="71">
        <f>IF(AND(Pay_Num&lt;&gt;"",Sched_Pay+Scheduled_Extra_Payments&lt;Beg_Bal),Scheduled_Extra_Payments,IF(AND(Pay_Num&lt;&gt;"",Beg_Bal-Sched_Pay&gt;0),Beg_Bal-Sched_Pay,IF(Pay_Num&lt;&gt;"",0,"")))</f>
        <v>0</v>
      </c>
      <c r="F219" s="70">
        <f>IF(AND(Pay_Num&lt;&gt;"",Sched_Pay+Extra_Pay&lt;Beg_Bal),Sched_Pay+Extra_Pay,IF(Pay_Num&lt;&gt;"",Beg_Bal,""))</f>
        <v>0</v>
      </c>
      <c r="G219" s="70">
        <f>IF(Pay_Num&lt;&gt;"",Total_Pay-Int,"")</f>
        <v>0</v>
      </c>
      <c r="H219" s="70">
        <f>IF(Pay_Num&lt;&gt;"",Beg_Bal*Interest_Rate/Num_Pmt_Per_Year,"")</f>
        <v>0</v>
      </c>
      <c r="I219" s="70">
        <f>IF(AND(Pay_Num&lt;&gt;"",Sched_Pay+Extra_Pay&lt;Beg_Bal),Beg_Bal-Princ,IF(Pay_Num&lt;&gt;"",0,""))</f>
        <v>0</v>
      </c>
      <c r="J219" s="70">
        <f>SUM($H$18:$H219)</f>
        <v>431201.75350020552</v>
      </c>
    </row>
    <row r="220" spans="1:10" x14ac:dyDescent="0.3">
      <c r="A220" s="36">
        <f>IF(Values_Entered,A219+1,"")</f>
        <v>203</v>
      </c>
      <c r="B220" s="35">
        <f>IF(Pay_Num&lt;&gt;"",DATE(YEAR(Loan_Start),MONTH(Loan_Start)+(Pay_Num)*12/Num_Pmt_Per_Year,DAY(Loan_Start)),"")</f>
        <v>64721</v>
      </c>
      <c r="C220" s="70">
        <f>IF(Pay_Num&lt;&gt;"",I219,"")</f>
        <v>0</v>
      </c>
      <c r="D220" s="70">
        <f>IF(Pay_Num&lt;&gt;"",Scheduled_Monthly_Payment,"")</f>
        <v>71560.087675010276</v>
      </c>
      <c r="E220" s="71">
        <f>IF(AND(Pay_Num&lt;&gt;"",Sched_Pay+Scheduled_Extra_Payments&lt;Beg_Bal),Scheduled_Extra_Payments,IF(AND(Pay_Num&lt;&gt;"",Beg_Bal-Sched_Pay&gt;0),Beg_Bal-Sched_Pay,IF(Pay_Num&lt;&gt;"",0,"")))</f>
        <v>0</v>
      </c>
      <c r="F220" s="70">
        <f>IF(AND(Pay_Num&lt;&gt;"",Sched_Pay+Extra_Pay&lt;Beg_Bal),Sched_Pay+Extra_Pay,IF(Pay_Num&lt;&gt;"",Beg_Bal,""))</f>
        <v>0</v>
      </c>
      <c r="G220" s="70">
        <f>IF(Pay_Num&lt;&gt;"",Total_Pay-Int,"")</f>
        <v>0</v>
      </c>
      <c r="H220" s="70">
        <f>IF(Pay_Num&lt;&gt;"",Beg_Bal*Interest_Rate/Num_Pmt_Per_Year,"")</f>
        <v>0</v>
      </c>
      <c r="I220" s="70">
        <f>IF(AND(Pay_Num&lt;&gt;"",Sched_Pay+Extra_Pay&lt;Beg_Bal),Beg_Bal-Princ,IF(Pay_Num&lt;&gt;"",0,""))</f>
        <v>0</v>
      </c>
      <c r="J220" s="70">
        <f>SUM($H$18:$H220)</f>
        <v>431201.75350020552</v>
      </c>
    </row>
    <row r="221" spans="1:10" x14ac:dyDescent="0.3">
      <c r="A221" s="36">
        <f>IF(Values_Entered,A220+1,"")</f>
        <v>204</v>
      </c>
      <c r="B221" s="35">
        <f>IF(Pay_Num&lt;&gt;"",DATE(YEAR(Loan_Start),MONTH(Loan_Start)+(Pay_Num)*12/Num_Pmt_Per_Year,DAY(Loan_Start)),"")</f>
        <v>64813</v>
      </c>
      <c r="C221" s="70">
        <f>IF(Pay_Num&lt;&gt;"",I220,"")</f>
        <v>0</v>
      </c>
      <c r="D221" s="70">
        <f>IF(Pay_Num&lt;&gt;"",Scheduled_Monthly_Payment,"")</f>
        <v>71560.087675010276</v>
      </c>
      <c r="E221" s="71">
        <f>IF(AND(Pay_Num&lt;&gt;"",Sched_Pay+Scheduled_Extra_Payments&lt;Beg_Bal),Scheduled_Extra_Payments,IF(AND(Pay_Num&lt;&gt;"",Beg_Bal-Sched_Pay&gt;0),Beg_Bal-Sched_Pay,IF(Pay_Num&lt;&gt;"",0,"")))</f>
        <v>0</v>
      </c>
      <c r="F221" s="70">
        <f>IF(AND(Pay_Num&lt;&gt;"",Sched_Pay+Extra_Pay&lt;Beg_Bal),Sched_Pay+Extra_Pay,IF(Pay_Num&lt;&gt;"",Beg_Bal,""))</f>
        <v>0</v>
      </c>
      <c r="G221" s="70">
        <f>IF(Pay_Num&lt;&gt;"",Total_Pay-Int,"")</f>
        <v>0</v>
      </c>
      <c r="H221" s="70">
        <f>IF(Pay_Num&lt;&gt;"",Beg_Bal*Interest_Rate/Num_Pmt_Per_Year,"")</f>
        <v>0</v>
      </c>
      <c r="I221" s="70">
        <f>IF(AND(Pay_Num&lt;&gt;"",Sched_Pay+Extra_Pay&lt;Beg_Bal),Beg_Bal-Princ,IF(Pay_Num&lt;&gt;"",0,""))</f>
        <v>0</v>
      </c>
      <c r="J221" s="70">
        <f>SUM($H$18:$H221)</f>
        <v>431201.75350020552</v>
      </c>
    </row>
    <row r="222" spans="1:10" x14ac:dyDescent="0.3">
      <c r="A222" s="36">
        <f>IF(Values_Entered,A221+1,"")</f>
        <v>205</v>
      </c>
      <c r="B222" s="35">
        <f>IF(Pay_Num&lt;&gt;"",DATE(YEAR(Loan_Start),MONTH(Loan_Start)+(Pay_Num)*12/Num_Pmt_Per_Year,DAY(Loan_Start)),"")</f>
        <v>64905</v>
      </c>
      <c r="C222" s="70">
        <f>IF(Pay_Num&lt;&gt;"",I221,"")</f>
        <v>0</v>
      </c>
      <c r="D222" s="70">
        <f>IF(Pay_Num&lt;&gt;"",Scheduled_Monthly_Payment,"")</f>
        <v>71560.087675010276</v>
      </c>
      <c r="E222" s="71">
        <f>IF(AND(Pay_Num&lt;&gt;"",Sched_Pay+Scheduled_Extra_Payments&lt;Beg_Bal),Scheduled_Extra_Payments,IF(AND(Pay_Num&lt;&gt;"",Beg_Bal-Sched_Pay&gt;0),Beg_Bal-Sched_Pay,IF(Pay_Num&lt;&gt;"",0,"")))</f>
        <v>0</v>
      </c>
      <c r="F222" s="70">
        <f>IF(AND(Pay_Num&lt;&gt;"",Sched_Pay+Extra_Pay&lt;Beg_Bal),Sched_Pay+Extra_Pay,IF(Pay_Num&lt;&gt;"",Beg_Bal,""))</f>
        <v>0</v>
      </c>
      <c r="G222" s="70">
        <f>IF(Pay_Num&lt;&gt;"",Total_Pay-Int,"")</f>
        <v>0</v>
      </c>
      <c r="H222" s="70">
        <f>IF(Pay_Num&lt;&gt;"",Beg_Bal*Interest_Rate/Num_Pmt_Per_Year,"")</f>
        <v>0</v>
      </c>
      <c r="I222" s="70">
        <f>IF(AND(Pay_Num&lt;&gt;"",Sched_Pay+Extra_Pay&lt;Beg_Bal),Beg_Bal-Princ,IF(Pay_Num&lt;&gt;"",0,""))</f>
        <v>0</v>
      </c>
      <c r="J222" s="70">
        <f>SUM($H$18:$H222)</f>
        <v>431201.75350020552</v>
      </c>
    </row>
    <row r="223" spans="1:10" x14ac:dyDescent="0.3">
      <c r="A223" s="36">
        <f>IF(Values_Entered,A222+1,"")</f>
        <v>206</v>
      </c>
      <c r="B223" s="35">
        <f>IF(Pay_Num&lt;&gt;"",DATE(YEAR(Loan_Start),MONTH(Loan_Start)+(Pay_Num)*12/Num_Pmt_Per_Year,DAY(Loan_Start)),"")</f>
        <v>64996</v>
      </c>
      <c r="C223" s="70">
        <f>IF(Pay_Num&lt;&gt;"",I222,"")</f>
        <v>0</v>
      </c>
      <c r="D223" s="70">
        <f>IF(Pay_Num&lt;&gt;"",Scheduled_Monthly_Payment,"")</f>
        <v>71560.087675010276</v>
      </c>
      <c r="E223" s="71">
        <f>IF(AND(Pay_Num&lt;&gt;"",Sched_Pay+Scheduled_Extra_Payments&lt;Beg_Bal),Scheduled_Extra_Payments,IF(AND(Pay_Num&lt;&gt;"",Beg_Bal-Sched_Pay&gt;0),Beg_Bal-Sched_Pay,IF(Pay_Num&lt;&gt;"",0,"")))</f>
        <v>0</v>
      </c>
      <c r="F223" s="70">
        <f>IF(AND(Pay_Num&lt;&gt;"",Sched_Pay+Extra_Pay&lt;Beg_Bal),Sched_Pay+Extra_Pay,IF(Pay_Num&lt;&gt;"",Beg_Bal,""))</f>
        <v>0</v>
      </c>
      <c r="G223" s="70">
        <f>IF(Pay_Num&lt;&gt;"",Total_Pay-Int,"")</f>
        <v>0</v>
      </c>
      <c r="H223" s="70">
        <f>IF(Pay_Num&lt;&gt;"",Beg_Bal*Interest_Rate/Num_Pmt_Per_Year,"")</f>
        <v>0</v>
      </c>
      <c r="I223" s="70">
        <f>IF(AND(Pay_Num&lt;&gt;"",Sched_Pay+Extra_Pay&lt;Beg_Bal),Beg_Bal-Princ,IF(Pay_Num&lt;&gt;"",0,""))</f>
        <v>0</v>
      </c>
      <c r="J223" s="70">
        <f>SUM($H$18:$H223)</f>
        <v>431201.75350020552</v>
      </c>
    </row>
    <row r="224" spans="1:10" x14ac:dyDescent="0.3">
      <c r="A224" s="36">
        <f>IF(Values_Entered,A223+1,"")</f>
        <v>207</v>
      </c>
      <c r="B224" s="35">
        <f>IF(Pay_Num&lt;&gt;"",DATE(YEAR(Loan_Start),MONTH(Loan_Start)+(Pay_Num)*12/Num_Pmt_Per_Year,DAY(Loan_Start)),"")</f>
        <v>65086</v>
      </c>
      <c r="C224" s="70">
        <f>IF(Pay_Num&lt;&gt;"",I223,"")</f>
        <v>0</v>
      </c>
      <c r="D224" s="70">
        <f>IF(Pay_Num&lt;&gt;"",Scheduled_Monthly_Payment,"")</f>
        <v>71560.087675010276</v>
      </c>
      <c r="E224" s="71">
        <f>IF(AND(Pay_Num&lt;&gt;"",Sched_Pay+Scheduled_Extra_Payments&lt;Beg_Bal),Scheduled_Extra_Payments,IF(AND(Pay_Num&lt;&gt;"",Beg_Bal-Sched_Pay&gt;0),Beg_Bal-Sched_Pay,IF(Pay_Num&lt;&gt;"",0,"")))</f>
        <v>0</v>
      </c>
      <c r="F224" s="70">
        <f>IF(AND(Pay_Num&lt;&gt;"",Sched_Pay+Extra_Pay&lt;Beg_Bal),Sched_Pay+Extra_Pay,IF(Pay_Num&lt;&gt;"",Beg_Bal,""))</f>
        <v>0</v>
      </c>
      <c r="G224" s="70">
        <f>IF(Pay_Num&lt;&gt;"",Total_Pay-Int,"")</f>
        <v>0</v>
      </c>
      <c r="H224" s="70">
        <f>IF(Pay_Num&lt;&gt;"",Beg_Bal*Interest_Rate/Num_Pmt_Per_Year,"")</f>
        <v>0</v>
      </c>
      <c r="I224" s="70">
        <f>IF(AND(Pay_Num&lt;&gt;"",Sched_Pay+Extra_Pay&lt;Beg_Bal),Beg_Bal-Princ,IF(Pay_Num&lt;&gt;"",0,""))</f>
        <v>0</v>
      </c>
      <c r="J224" s="70">
        <f>SUM($H$18:$H224)</f>
        <v>431201.75350020552</v>
      </c>
    </row>
    <row r="225" spans="1:10" x14ac:dyDescent="0.3">
      <c r="A225" s="36">
        <f>IF(Values_Entered,A224+1,"")</f>
        <v>208</v>
      </c>
      <c r="B225" s="35">
        <f>IF(Pay_Num&lt;&gt;"",DATE(YEAR(Loan_Start),MONTH(Loan_Start)+(Pay_Num)*12/Num_Pmt_Per_Year,DAY(Loan_Start)),"")</f>
        <v>65178</v>
      </c>
      <c r="C225" s="70">
        <f>IF(Pay_Num&lt;&gt;"",I224,"")</f>
        <v>0</v>
      </c>
      <c r="D225" s="70">
        <f>IF(Pay_Num&lt;&gt;"",Scheduled_Monthly_Payment,"")</f>
        <v>71560.087675010276</v>
      </c>
      <c r="E225" s="71">
        <f>IF(AND(Pay_Num&lt;&gt;"",Sched_Pay+Scheduled_Extra_Payments&lt;Beg_Bal),Scheduled_Extra_Payments,IF(AND(Pay_Num&lt;&gt;"",Beg_Bal-Sched_Pay&gt;0),Beg_Bal-Sched_Pay,IF(Pay_Num&lt;&gt;"",0,"")))</f>
        <v>0</v>
      </c>
      <c r="F225" s="70">
        <f>IF(AND(Pay_Num&lt;&gt;"",Sched_Pay+Extra_Pay&lt;Beg_Bal),Sched_Pay+Extra_Pay,IF(Pay_Num&lt;&gt;"",Beg_Bal,""))</f>
        <v>0</v>
      </c>
      <c r="G225" s="70">
        <f>IF(Pay_Num&lt;&gt;"",Total_Pay-Int,"")</f>
        <v>0</v>
      </c>
      <c r="H225" s="70">
        <f>IF(Pay_Num&lt;&gt;"",Beg_Bal*Interest_Rate/Num_Pmt_Per_Year,"")</f>
        <v>0</v>
      </c>
      <c r="I225" s="70">
        <f>IF(AND(Pay_Num&lt;&gt;"",Sched_Pay+Extra_Pay&lt;Beg_Bal),Beg_Bal-Princ,IF(Pay_Num&lt;&gt;"",0,""))</f>
        <v>0</v>
      </c>
      <c r="J225" s="70">
        <f>SUM($H$18:$H225)</f>
        <v>431201.75350020552</v>
      </c>
    </row>
    <row r="226" spans="1:10" x14ac:dyDescent="0.3">
      <c r="A226" s="36">
        <f>IF(Values_Entered,A225+1,"")</f>
        <v>209</v>
      </c>
      <c r="B226" s="35">
        <f>IF(Pay_Num&lt;&gt;"",DATE(YEAR(Loan_Start),MONTH(Loan_Start)+(Pay_Num)*12/Num_Pmt_Per_Year,DAY(Loan_Start)),"")</f>
        <v>65270</v>
      </c>
      <c r="C226" s="70">
        <f>IF(Pay_Num&lt;&gt;"",I225,"")</f>
        <v>0</v>
      </c>
      <c r="D226" s="70">
        <f>IF(Pay_Num&lt;&gt;"",Scheduled_Monthly_Payment,"")</f>
        <v>71560.087675010276</v>
      </c>
      <c r="E226" s="71">
        <f>IF(AND(Pay_Num&lt;&gt;"",Sched_Pay+Scheduled_Extra_Payments&lt;Beg_Bal),Scheduled_Extra_Payments,IF(AND(Pay_Num&lt;&gt;"",Beg_Bal-Sched_Pay&gt;0),Beg_Bal-Sched_Pay,IF(Pay_Num&lt;&gt;"",0,"")))</f>
        <v>0</v>
      </c>
      <c r="F226" s="70">
        <f>IF(AND(Pay_Num&lt;&gt;"",Sched_Pay+Extra_Pay&lt;Beg_Bal),Sched_Pay+Extra_Pay,IF(Pay_Num&lt;&gt;"",Beg_Bal,""))</f>
        <v>0</v>
      </c>
      <c r="G226" s="70">
        <f>IF(Pay_Num&lt;&gt;"",Total_Pay-Int,"")</f>
        <v>0</v>
      </c>
      <c r="H226" s="70">
        <f>IF(Pay_Num&lt;&gt;"",Beg_Bal*Interest_Rate/Num_Pmt_Per_Year,"")</f>
        <v>0</v>
      </c>
      <c r="I226" s="70">
        <f>IF(AND(Pay_Num&lt;&gt;"",Sched_Pay+Extra_Pay&lt;Beg_Bal),Beg_Bal-Princ,IF(Pay_Num&lt;&gt;"",0,""))</f>
        <v>0</v>
      </c>
      <c r="J226" s="70">
        <f>SUM($H$18:$H226)</f>
        <v>431201.75350020552</v>
      </c>
    </row>
    <row r="227" spans="1:10" x14ac:dyDescent="0.3">
      <c r="A227" s="36">
        <f>IF(Values_Entered,A226+1,"")</f>
        <v>210</v>
      </c>
      <c r="B227" s="35">
        <f>IF(Pay_Num&lt;&gt;"",DATE(YEAR(Loan_Start),MONTH(Loan_Start)+(Pay_Num)*12/Num_Pmt_Per_Year,DAY(Loan_Start)),"")</f>
        <v>65361</v>
      </c>
      <c r="C227" s="70">
        <f>IF(Pay_Num&lt;&gt;"",I226,"")</f>
        <v>0</v>
      </c>
      <c r="D227" s="70">
        <f>IF(Pay_Num&lt;&gt;"",Scheduled_Monthly_Payment,"")</f>
        <v>71560.087675010276</v>
      </c>
      <c r="E227" s="71">
        <f>IF(AND(Pay_Num&lt;&gt;"",Sched_Pay+Scheduled_Extra_Payments&lt;Beg_Bal),Scheduled_Extra_Payments,IF(AND(Pay_Num&lt;&gt;"",Beg_Bal-Sched_Pay&gt;0),Beg_Bal-Sched_Pay,IF(Pay_Num&lt;&gt;"",0,"")))</f>
        <v>0</v>
      </c>
      <c r="F227" s="70">
        <f>IF(AND(Pay_Num&lt;&gt;"",Sched_Pay+Extra_Pay&lt;Beg_Bal),Sched_Pay+Extra_Pay,IF(Pay_Num&lt;&gt;"",Beg_Bal,""))</f>
        <v>0</v>
      </c>
      <c r="G227" s="70">
        <f>IF(Pay_Num&lt;&gt;"",Total_Pay-Int,"")</f>
        <v>0</v>
      </c>
      <c r="H227" s="70">
        <f>IF(Pay_Num&lt;&gt;"",Beg_Bal*Interest_Rate/Num_Pmt_Per_Year,"")</f>
        <v>0</v>
      </c>
      <c r="I227" s="70">
        <f>IF(AND(Pay_Num&lt;&gt;"",Sched_Pay+Extra_Pay&lt;Beg_Bal),Beg_Bal-Princ,IF(Pay_Num&lt;&gt;"",0,""))</f>
        <v>0</v>
      </c>
      <c r="J227" s="70">
        <f>SUM($H$18:$H227)</f>
        <v>431201.75350020552</v>
      </c>
    </row>
    <row r="228" spans="1:10" x14ac:dyDescent="0.3">
      <c r="A228" s="36">
        <f>IF(Values_Entered,A227+1,"")</f>
        <v>211</v>
      </c>
      <c r="B228" s="35">
        <f>IF(Pay_Num&lt;&gt;"",DATE(YEAR(Loan_Start),MONTH(Loan_Start)+(Pay_Num)*12/Num_Pmt_Per_Year,DAY(Loan_Start)),"")</f>
        <v>65451</v>
      </c>
      <c r="C228" s="70">
        <f>IF(Pay_Num&lt;&gt;"",I227,"")</f>
        <v>0</v>
      </c>
      <c r="D228" s="70">
        <f>IF(Pay_Num&lt;&gt;"",Scheduled_Monthly_Payment,"")</f>
        <v>71560.087675010276</v>
      </c>
      <c r="E228" s="71">
        <f>IF(AND(Pay_Num&lt;&gt;"",Sched_Pay+Scheduled_Extra_Payments&lt;Beg_Bal),Scheduled_Extra_Payments,IF(AND(Pay_Num&lt;&gt;"",Beg_Bal-Sched_Pay&gt;0),Beg_Bal-Sched_Pay,IF(Pay_Num&lt;&gt;"",0,"")))</f>
        <v>0</v>
      </c>
      <c r="F228" s="70">
        <f>IF(AND(Pay_Num&lt;&gt;"",Sched_Pay+Extra_Pay&lt;Beg_Bal),Sched_Pay+Extra_Pay,IF(Pay_Num&lt;&gt;"",Beg_Bal,""))</f>
        <v>0</v>
      </c>
      <c r="G228" s="70">
        <f>IF(Pay_Num&lt;&gt;"",Total_Pay-Int,"")</f>
        <v>0</v>
      </c>
      <c r="H228" s="70">
        <f>IF(Pay_Num&lt;&gt;"",Beg_Bal*Interest_Rate/Num_Pmt_Per_Year,"")</f>
        <v>0</v>
      </c>
      <c r="I228" s="70">
        <f>IF(AND(Pay_Num&lt;&gt;"",Sched_Pay+Extra_Pay&lt;Beg_Bal),Beg_Bal-Princ,IF(Pay_Num&lt;&gt;"",0,""))</f>
        <v>0</v>
      </c>
      <c r="J228" s="70">
        <f>SUM($H$18:$H228)</f>
        <v>431201.75350020552</v>
      </c>
    </row>
    <row r="229" spans="1:10" x14ac:dyDescent="0.3">
      <c r="A229" s="36">
        <f>IF(Values_Entered,A228+1,"")</f>
        <v>212</v>
      </c>
      <c r="B229" s="35">
        <f>IF(Pay_Num&lt;&gt;"",DATE(YEAR(Loan_Start),MONTH(Loan_Start)+(Pay_Num)*12/Num_Pmt_Per_Year,DAY(Loan_Start)),"")</f>
        <v>65543</v>
      </c>
      <c r="C229" s="70">
        <f>IF(Pay_Num&lt;&gt;"",I228,"")</f>
        <v>0</v>
      </c>
      <c r="D229" s="70">
        <f>IF(Pay_Num&lt;&gt;"",Scheduled_Monthly_Payment,"")</f>
        <v>71560.087675010276</v>
      </c>
      <c r="E229" s="71">
        <f>IF(AND(Pay_Num&lt;&gt;"",Sched_Pay+Scheduled_Extra_Payments&lt;Beg_Bal),Scheduled_Extra_Payments,IF(AND(Pay_Num&lt;&gt;"",Beg_Bal-Sched_Pay&gt;0),Beg_Bal-Sched_Pay,IF(Pay_Num&lt;&gt;"",0,"")))</f>
        <v>0</v>
      </c>
      <c r="F229" s="70">
        <f>IF(AND(Pay_Num&lt;&gt;"",Sched_Pay+Extra_Pay&lt;Beg_Bal),Sched_Pay+Extra_Pay,IF(Pay_Num&lt;&gt;"",Beg_Bal,""))</f>
        <v>0</v>
      </c>
      <c r="G229" s="70">
        <f>IF(Pay_Num&lt;&gt;"",Total_Pay-Int,"")</f>
        <v>0</v>
      </c>
      <c r="H229" s="70">
        <f>IF(Pay_Num&lt;&gt;"",Beg_Bal*Interest_Rate/Num_Pmt_Per_Year,"")</f>
        <v>0</v>
      </c>
      <c r="I229" s="70">
        <f>IF(AND(Pay_Num&lt;&gt;"",Sched_Pay+Extra_Pay&lt;Beg_Bal),Beg_Bal-Princ,IF(Pay_Num&lt;&gt;"",0,""))</f>
        <v>0</v>
      </c>
      <c r="J229" s="70">
        <f>SUM($H$18:$H229)</f>
        <v>431201.75350020552</v>
      </c>
    </row>
    <row r="230" spans="1:10" x14ac:dyDescent="0.3">
      <c r="A230" s="36">
        <f>IF(Values_Entered,A229+1,"")</f>
        <v>213</v>
      </c>
      <c r="B230" s="35">
        <f>IF(Pay_Num&lt;&gt;"",DATE(YEAR(Loan_Start),MONTH(Loan_Start)+(Pay_Num)*12/Num_Pmt_Per_Year,DAY(Loan_Start)),"")</f>
        <v>65635</v>
      </c>
      <c r="C230" s="70">
        <f>IF(Pay_Num&lt;&gt;"",I229,"")</f>
        <v>0</v>
      </c>
      <c r="D230" s="70">
        <f>IF(Pay_Num&lt;&gt;"",Scheduled_Monthly_Payment,"")</f>
        <v>71560.087675010276</v>
      </c>
      <c r="E230" s="71">
        <f>IF(AND(Pay_Num&lt;&gt;"",Sched_Pay+Scheduled_Extra_Payments&lt;Beg_Bal),Scheduled_Extra_Payments,IF(AND(Pay_Num&lt;&gt;"",Beg_Bal-Sched_Pay&gt;0),Beg_Bal-Sched_Pay,IF(Pay_Num&lt;&gt;"",0,"")))</f>
        <v>0</v>
      </c>
      <c r="F230" s="70">
        <f>IF(AND(Pay_Num&lt;&gt;"",Sched_Pay+Extra_Pay&lt;Beg_Bal),Sched_Pay+Extra_Pay,IF(Pay_Num&lt;&gt;"",Beg_Bal,""))</f>
        <v>0</v>
      </c>
      <c r="G230" s="70">
        <f>IF(Pay_Num&lt;&gt;"",Total_Pay-Int,"")</f>
        <v>0</v>
      </c>
      <c r="H230" s="70">
        <f>IF(Pay_Num&lt;&gt;"",Beg_Bal*Interest_Rate/Num_Pmt_Per_Year,"")</f>
        <v>0</v>
      </c>
      <c r="I230" s="70">
        <f>IF(AND(Pay_Num&lt;&gt;"",Sched_Pay+Extra_Pay&lt;Beg_Bal),Beg_Bal-Princ,IF(Pay_Num&lt;&gt;"",0,""))</f>
        <v>0</v>
      </c>
      <c r="J230" s="70">
        <f>SUM($H$18:$H230)</f>
        <v>431201.75350020552</v>
      </c>
    </row>
    <row r="231" spans="1:10" x14ac:dyDescent="0.3">
      <c r="A231" s="36">
        <f>IF(Values_Entered,A230+1,"")</f>
        <v>214</v>
      </c>
      <c r="B231" s="35">
        <f>IF(Pay_Num&lt;&gt;"",DATE(YEAR(Loan_Start),MONTH(Loan_Start)+(Pay_Num)*12/Num_Pmt_Per_Year,DAY(Loan_Start)),"")</f>
        <v>65726</v>
      </c>
      <c r="C231" s="70">
        <f>IF(Pay_Num&lt;&gt;"",I230,"")</f>
        <v>0</v>
      </c>
      <c r="D231" s="70">
        <f>IF(Pay_Num&lt;&gt;"",Scheduled_Monthly_Payment,"")</f>
        <v>71560.087675010276</v>
      </c>
      <c r="E231" s="71">
        <f>IF(AND(Pay_Num&lt;&gt;"",Sched_Pay+Scheduled_Extra_Payments&lt;Beg_Bal),Scheduled_Extra_Payments,IF(AND(Pay_Num&lt;&gt;"",Beg_Bal-Sched_Pay&gt;0),Beg_Bal-Sched_Pay,IF(Pay_Num&lt;&gt;"",0,"")))</f>
        <v>0</v>
      </c>
      <c r="F231" s="70">
        <f>IF(AND(Pay_Num&lt;&gt;"",Sched_Pay+Extra_Pay&lt;Beg_Bal),Sched_Pay+Extra_Pay,IF(Pay_Num&lt;&gt;"",Beg_Bal,""))</f>
        <v>0</v>
      </c>
      <c r="G231" s="70">
        <f>IF(Pay_Num&lt;&gt;"",Total_Pay-Int,"")</f>
        <v>0</v>
      </c>
      <c r="H231" s="70">
        <f>IF(Pay_Num&lt;&gt;"",Beg_Bal*Interest_Rate/Num_Pmt_Per_Year,"")</f>
        <v>0</v>
      </c>
      <c r="I231" s="70">
        <f>IF(AND(Pay_Num&lt;&gt;"",Sched_Pay+Extra_Pay&lt;Beg_Bal),Beg_Bal-Princ,IF(Pay_Num&lt;&gt;"",0,""))</f>
        <v>0</v>
      </c>
      <c r="J231" s="70">
        <f>SUM($H$18:$H231)</f>
        <v>431201.75350020552</v>
      </c>
    </row>
    <row r="232" spans="1:10" x14ac:dyDescent="0.3">
      <c r="A232" s="36">
        <f>IF(Values_Entered,A231+1,"")</f>
        <v>215</v>
      </c>
      <c r="B232" s="35">
        <f>IF(Pay_Num&lt;&gt;"",DATE(YEAR(Loan_Start),MONTH(Loan_Start)+(Pay_Num)*12/Num_Pmt_Per_Year,DAY(Loan_Start)),"")</f>
        <v>65817</v>
      </c>
      <c r="C232" s="70">
        <f>IF(Pay_Num&lt;&gt;"",I231,"")</f>
        <v>0</v>
      </c>
      <c r="D232" s="70">
        <f>IF(Pay_Num&lt;&gt;"",Scheduled_Monthly_Payment,"")</f>
        <v>71560.087675010276</v>
      </c>
      <c r="E232" s="71">
        <f>IF(AND(Pay_Num&lt;&gt;"",Sched_Pay+Scheduled_Extra_Payments&lt;Beg_Bal),Scheduled_Extra_Payments,IF(AND(Pay_Num&lt;&gt;"",Beg_Bal-Sched_Pay&gt;0),Beg_Bal-Sched_Pay,IF(Pay_Num&lt;&gt;"",0,"")))</f>
        <v>0</v>
      </c>
      <c r="F232" s="70">
        <f>IF(AND(Pay_Num&lt;&gt;"",Sched_Pay+Extra_Pay&lt;Beg_Bal),Sched_Pay+Extra_Pay,IF(Pay_Num&lt;&gt;"",Beg_Bal,""))</f>
        <v>0</v>
      </c>
      <c r="G232" s="70">
        <f>IF(Pay_Num&lt;&gt;"",Total_Pay-Int,"")</f>
        <v>0</v>
      </c>
      <c r="H232" s="70">
        <f>IF(Pay_Num&lt;&gt;"",Beg_Bal*Interest_Rate/Num_Pmt_Per_Year,"")</f>
        <v>0</v>
      </c>
      <c r="I232" s="70">
        <f>IF(AND(Pay_Num&lt;&gt;"",Sched_Pay+Extra_Pay&lt;Beg_Bal),Beg_Bal-Princ,IF(Pay_Num&lt;&gt;"",0,""))</f>
        <v>0</v>
      </c>
      <c r="J232" s="70">
        <f>SUM($H$18:$H232)</f>
        <v>431201.75350020552</v>
      </c>
    </row>
    <row r="233" spans="1:10" x14ac:dyDescent="0.3">
      <c r="A233" s="36">
        <f>IF(Values_Entered,A232+1,"")</f>
        <v>216</v>
      </c>
      <c r="B233" s="35">
        <f>IF(Pay_Num&lt;&gt;"",DATE(YEAR(Loan_Start),MONTH(Loan_Start)+(Pay_Num)*12/Num_Pmt_Per_Year,DAY(Loan_Start)),"")</f>
        <v>65909</v>
      </c>
      <c r="C233" s="70">
        <f>IF(Pay_Num&lt;&gt;"",I232,"")</f>
        <v>0</v>
      </c>
      <c r="D233" s="70">
        <f>IF(Pay_Num&lt;&gt;"",Scheduled_Monthly_Payment,"")</f>
        <v>71560.087675010276</v>
      </c>
      <c r="E233" s="71">
        <f>IF(AND(Pay_Num&lt;&gt;"",Sched_Pay+Scheduled_Extra_Payments&lt;Beg_Bal),Scheduled_Extra_Payments,IF(AND(Pay_Num&lt;&gt;"",Beg_Bal-Sched_Pay&gt;0),Beg_Bal-Sched_Pay,IF(Pay_Num&lt;&gt;"",0,"")))</f>
        <v>0</v>
      </c>
      <c r="F233" s="70">
        <f>IF(AND(Pay_Num&lt;&gt;"",Sched_Pay+Extra_Pay&lt;Beg_Bal),Sched_Pay+Extra_Pay,IF(Pay_Num&lt;&gt;"",Beg_Bal,""))</f>
        <v>0</v>
      </c>
      <c r="G233" s="70">
        <f>IF(Pay_Num&lt;&gt;"",Total_Pay-Int,"")</f>
        <v>0</v>
      </c>
      <c r="H233" s="70">
        <f>IF(Pay_Num&lt;&gt;"",Beg_Bal*Interest_Rate/Num_Pmt_Per_Year,"")</f>
        <v>0</v>
      </c>
      <c r="I233" s="70">
        <f>IF(AND(Pay_Num&lt;&gt;"",Sched_Pay+Extra_Pay&lt;Beg_Bal),Beg_Bal-Princ,IF(Pay_Num&lt;&gt;"",0,""))</f>
        <v>0</v>
      </c>
      <c r="J233" s="70">
        <f>SUM($H$18:$H233)</f>
        <v>431201.75350020552</v>
      </c>
    </row>
    <row r="234" spans="1:10" x14ac:dyDescent="0.3">
      <c r="A234" s="36">
        <f>IF(Values_Entered,A233+1,"")</f>
        <v>217</v>
      </c>
      <c r="B234" s="35">
        <f>IF(Pay_Num&lt;&gt;"",DATE(YEAR(Loan_Start),MONTH(Loan_Start)+(Pay_Num)*12/Num_Pmt_Per_Year,DAY(Loan_Start)),"")</f>
        <v>66001</v>
      </c>
      <c r="C234" s="70">
        <f>IF(Pay_Num&lt;&gt;"",I233,"")</f>
        <v>0</v>
      </c>
      <c r="D234" s="70">
        <f>IF(Pay_Num&lt;&gt;"",Scheduled_Monthly_Payment,"")</f>
        <v>71560.087675010276</v>
      </c>
      <c r="E234" s="71">
        <f>IF(AND(Pay_Num&lt;&gt;"",Sched_Pay+Scheduled_Extra_Payments&lt;Beg_Bal),Scheduled_Extra_Payments,IF(AND(Pay_Num&lt;&gt;"",Beg_Bal-Sched_Pay&gt;0),Beg_Bal-Sched_Pay,IF(Pay_Num&lt;&gt;"",0,"")))</f>
        <v>0</v>
      </c>
      <c r="F234" s="70">
        <f>IF(AND(Pay_Num&lt;&gt;"",Sched_Pay+Extra_Pay&lt;Beg_Bal),Sched_Pay+Extra_Pay,IF(Pay_Num&lt;&gt;"",Beg_Bal,""))</f>
        <v>0</v>
      </c>
      <c r="G234" s="70">
        <f>IF(Pay_Num&lt;&gt;"",Total_Pay-Int,"")</f>
        <v>0</v>
      </c>
      <c r="H234" s="70">
        <f>IF(Pay_Num&lt;&gt;"",Beg_Bal*Interest_Rate/Num_Pmt_Per_Year,"")</f>
        <v>0</v>
      </c>
      <c r="I234" s="70">
        <f>IF(AND(Pay_Num&lt;&gt;"",Sched_Pay+Extra_Pay&lt;Beg_Bal),Beg_Bal-Princ,IF(Pay_Num&lt;&gt;"",0,""))</f>
        <v>0</v>
      </c>
      <c r="J234" s="70">
        <f>SUM($H$18:$H234)</f>
        <v>431201.75350020552</v>
      </c>
    </row>
    <row r="235" spans="1:10" x14ac:dyDescent="0.3">
      <c r="A235" s="36">
        <f>IF(Values_Entered,A234+1,"")</f>
        <v>218</v>
      </c>
      <c r="B235" s="35">
        <f>IF(Pay_Num&lt;&gt;"",DATE(YEAR(Loan_Start),MONTH(Loan_Start)+(Pay_Num)*12/Num_Pmt_Per_Year,DAY(Loan_Start)),"")</f>
        <v>66092</v>
      </c>
      <c r="C235" s="70">
        <f>IF(Pay_Num&lt;&gt;"",I234,"")</f>
        <v>0</v>
      </c>
      <c r="D235" s="70">
        <f>IF(Pay_Num&lt;&gt;"",Scheduled_Monthly_Payment,"")</f>
        <v>71560.087675010276</v>
      </c>
      <c r="E235" s="71">
        <f>IF(AND(Pay_Num&lt;&gt;"",Sched_Pay+Scheduled_Extra_Payments&lt;Beg_Bal),Scheduled_Extra_Payments,IF(AND(Pay_Num&lt;&gt;"",Beg_Bal-Sched_Pay&gt;0),Beg_Bal-Sched_Pay,IF(Pay_Num&lt;&gt;"",0,"")))</f>
        <v>0</v>
      </c>
      <c r="F235" s="70">
        <f>IF(AND(Pay_Num&lt;&gt;"",Sched_Pay+Extra_Pay&lt;Beg_Bal),Sched_Pay+Extra_Pay,IF(Pay_Num&lt;&gt;"",Beg_Bal,""))</f>
        <v>0</v>
      </c>
      <c r="G235" s="70">
        <f>IF(Pay_Num&lt;&gt;"",Total_Pay-Int,"")</f>
        <v>0</v>
      </c>
      <c r="H235" s="70">
        <f>IF(Pay_Num&lt;&gt;"",Beg_Bal*Interest_Rate/Num_Pmt_Per_Year,"")</f>
        <v>0</v>
      </c>
      <c r="I235" s="70">
        <f>IF(AND(Pay_Num&lt;&gt;"",Sched_Pay+Extra_Pay&lt;Beg_Bal),Beg_Bal-Princ,IF(Pay_Num&lt;&gt;"",0,""))</f>
        <v>0</v>
      </c>
      <c r="J235" s="70">
        <f>SUM($H$18:$H235)</f>
        <v>431201.75350020552</v>
      </c>
    </row>
    <row r="236" spans="1:10" x14ac:dyDescent="0.3">
      <c r="A236" s="36">
        <f>IF(Values_Entered,A235+1,"")</f>
        <v>219</v>
      </c>
      <c r="B236" s="35">
        <f>IF(Pay_Num&lt;&gt;"",DATE(YEAR(Loan_Start),MONTH(Loan_Start)+(Pay_Num)*12/Num_Pmt_Per_Year,DAY(Loan_Start)),"")</f>
        <v>66182</v>
      </c>
      <c r="C236" s="70">
        <f>IF(Pay_Num&lt;&gt;"",I235,"")</f>
        <v>0</v>
      </c>
      <c r="D236" s="70">
        <f>IF(Pay_Num&lt;&gt;"",Scheduled_Monthly_Payment,"")</f>
        <v>71560.087675010276</v>
      </c>
      <c r="E236" s="71">
        <f>IF(AND(Pay_Num&lt;&gt;"",Sched_Pay+Scheduled_Extra_Payments&lt;Beg_Bal),Scheduled_Extra_Payments,IF(AND(Pay_Num&lt;&gt;"",Beg_Bal-Sched_Pay&gt;0),Beg_Bal-Sched_Pay,IF(Pay_Num&lt;&gt;"",0,"")))</f>
        <v>0</v>
      </c>
      <c r="F236" s="70">
        <f>IF(AND(Pay_Num&lt;&gt;"",Sched_Pay+Extra_Pay&lt;Beg_Bal),Sched_Pay+Extra_Pay,IF(Pay_Num&lt;&gt;"",Beg_Bal,""))</f>
        <v>0</v>
      </c>
      <c r="G236" s="70">
        <f>IF(Pay_Num&lt;&gt;"",Total_Pay-Int,"")</f>
        <v>0</v>
      </c>
      <c r="H236" s="70">
        <f>IF(Pay_Num&lt;&gt;"",Beg_Bal*Interest_Rate/Num_Pmt_Per_Year,"")</f>
        <v>0</v>
      </c>
      <c r="I236" s="70">
        <f>IF(AND(Pay_Num&lt;&gt;"",Sched_Pay+Extra_Pay&lt;Beg_Bal),Beg_Bal-Princ,IF(Pay_Num&lt;&gt;"",0,""))</f>
        <v>0</v>
      </c>
      <c r="J236" s="70">
        <f>SUM($H$18:$H236)</f>
        <v>431201.75350020552</v>
      </c>
    </row>
    <row r="237" spans="1:10" x14ac:dyDescent="0.3">
      <c r="A237" s="36">
        <f>IF(Values_Entered,A236+1,"")</f>
        <v>220</v>
      </c>
      <c r="B237" s="35">
        <f>IF(Pay_Num&lt;&gt;"",DATE(YEAR(Loan_Start),MONTH(Loan_Start)+(Pay_Num)*12/Num_Pmt_Per_Year,DAY(Loan_Start)),"")</f>
        <v>66274</v>
      </c>
      <c r="C237" s="70">
        <f>IF(Pay_Num&lt;&gt;"",I236,"")</f>
        <v>0</v>
      </c>
      <c r="D237" s="70">
        <f>IF(Pay_Num&lt;&gt;"",Scheduled_Monthly_Payment,"")</f>
        <v>71560.087675010276</v>
      </c>
      <c r="E237" s="71">
        <f>IF(AND(Pay_Num&lt;&gt;"",Sched_Pay+Scheduled_Extra_Payments&lt;Beg_Bal),Scheduled_Extra_Payments,IF(AND(Pay_Num&lt;&gt;"",Beg_Bal-Sched_Pay&gt;0),Beg_Bal-Sched_Pay,IF(Pay_Num&lt;&gt;"",0,"")))</f>
        <v>0</v>
      </c>
      <c r="F237" s="70">
        <f>IF(AND(Pay_Num&lt;&gt;"",Sched_Pay+Extra_Pay&lt;Beg_Bal),Sched_Pay+Extra_Pay,IF(Pay_Num&lt;&gt;"",Beg_Bal,""))</f>
        <v>0</v>
      </c>
      <c r="G237" s="70">
        <f>IF(Pay_Num&lt;&gt;"",Total_Pay-Int,"")</f>
        <v>0</v>
      </c>
      <c r="H237" s="70">
        <f>IF(Pay_Num&lt;&gt;"",Beg_Bal*Interest_Rate/Num_Pmt_Per_Year,"")</f>
        <v>0</v>
      </c>
      <c r="I237" s="70">
        <f>IF(AND(Pay_Num&lt;&gt;"",Sched_Pay+Extra_Pay&lt;Beg_Bal),Beg_Bal-Princ,IF(Pay_Num&lt;&gt;"",0,""))</f>
        <v>0</v>
      </c>
      <c r="J237" s="70">
        <f>SUM($H$18:$H237)</f>
        <v>431201.75350020552</v>
      </c>
    </row>
    <row r="238" spans="1:10" x14ac:dyDescent="0.3">
      <c r="A238" s="36">
        <f>IF(Values_Entered,A237+1,"")</f>
        <v>221</v>
      </c>
      <c r="B238" s="35">
        <f>IF(Pay_Num&lt;&gt;"",DATE(YEAR(Loan_Start),MONTH(Loan_Start)+(Pay_Num)*12/Num_Pmt_Per_Year,DAY(Loan_Start)),"")</f>
        <v>66366</v>
      </c>
      <c r="C238" s="70">
        <f>IF(Pay_Num&lt;&gt;"",I237,"")</f>
        <v>0</v>
      </c>
      <c r="D238" s="70">
        <f>IF(Pay_Num&lt;&gt;"",Scheduled_Monthly_Payment,"")</f>
        <v>71560.087675010276</v>
      </c>
      <c r="E238" s="71">
        <f>IF(AND(Pay_Num&lt;&gt;"",Sched_Pay+Scheduled_Extra_Payments&lt;Beg_Bal),Scheduled_Extra_Payments,IF(AND(Pay_Num&lt;&gt;"",Beg_Bal-Sched_Pay&gt;0),Beg_Bal-Sched_Pay,IF(Pay_Num&lt;&gt;"",0,"")))</f>
        <v>0</v>
      </c>
      <c r="F238" s="70">
        <f>IF(AND(Pay_Num&lt;&gt;"",Sched_Pay+Extra_Pay&lt;Beg_Bal),Sched_Pay+Extra_Pay,IF(Pay_Num&lt;&gt;"",Beg_Bal,""))</f>
        <v>0</v>
      </c>
      <c r="G238" s="70">
        <f>IF(Pay_Num&lt;&gt;"",Total_Pay-Int,"")</f>
        <v>0</v>
      </c>
      <c r="H238" s="70">
        <f>IF(Pay_Num&lt;&gt;"",Beg_Bal*Interest_Rate/Num_Pmt_Per_Year,"")</f>
        <v>0</v>
      </c>
      <c r="I238" s="70">
        <f>IF(AND(Pay_Num&lt;&gt;"",Sched_Pay+Extra_Pay&lt;Beg_Bal),Beg_Bal-Princ,IF(Pay_Num&lt;&gt;"",0,""))</f>
        <v>0</v>
      </c>
      <c r="J238" s="70">
        <f>SUM($H$18:$H238)</f>
        <v>431201.75350020552</v>
      </c>
    </row>
    <row r="239" spans="1:10" x14ac:dyDescent="0.3">
      <c r="A239" s="36">
        <f>IF(Values_Entered,A238+1,"")</f>
        <v>222</v>
      </c>
      <c r="B239" s="35">
        <f>IF(Pay_Num&lt;&gt;"",DATE(YEAR(Loan_Start),MONTH(Loan_Start)+(Pay_Num)*12/Num_Pmt_Per_Year,DAY(Loan_Start)),"")</f>
        <v>66457</v>
      </c>
      <c r="C239" s="70">
        <f>IF(Pay_Num&lt;&gt;"",I238,"")</f>
        <v>0</v>
      </c>
      <c r="D239" s="70">
        <f>IF(Pay_Num&lt;&gt;"",Scheduled_Monthly_Payment,"")</f>
        <v>71560.087675010276</v>
      </c>
      <c r="E239" s="71">
        <f>IF(AND(Pay_Num&lt;&gt;"",Sched_Pay+Scheduled_Extra_Payments&lt;Beg_Bal),Scheduled_Extra_Payments,IF(AND(Pay_Num&lt;&gt;"",Beg_Bal-Sched_Pay&gt;0),Beg_Bal-Sched_Pay,IF(Pay_Num&lt;&gt;"",0,"")))</f>
        <v>0</v>
      </c>
      <c r="F239" s="70">
        <f>IF(AND(Pay_Num&lt;&gt;"",Sched_Pay+Extra_Pay&lt;Beg_Bal),Sched_Pay+Extra_Pay,IF(Pay_Num&lt;&gt;"",Beg_Bal,""))</f>
        <v>0</v>
      </c>
      <c r="G239" s="70">
        <f>IF(Pay_Num&lt;&gt;"",Total_Pay-Int,"")</f>
        <v>0</v>
      </c>
      <c r="H239" s="70">
        <f>IF(Pay_Num&lt;&gt;"",Beg_Bal*Interest_Rate/Num_Pmt_Per_Year,"")</f>
        <v>0</v>
      </c>
      <c r="I239" s="70">
        <f>IF(AND(Pay_Num&lt;&gt;"",Sched_Pay+Extra_Pay&lt;Beg_Bal),Beg_Bal-Princ,IF(Pay_Num&lt;&gt;"",0,""))</f>
        <v>0</v>
      </c>
      <c r="J239" s="70">
        <f>SUM($H$18:$H239)</f>
        <v>431201.75350020552</v>
      </c>
    </row>
    <row r="240" spans="1:10" x14ac:dyDescent="0.3">
      <c r="A240" s="36">
        <f>IF(Values_Entered,A239+1,"")</f>
        <v>223</v>
      </c>
      <c r="B240" s="35">
        <f>IF(Pay_Num&lt;&gt;"",DATE(YEAR(Loan_Start),MONTH(Loan_Start)+(Pay_Num)*12/Num_Pmt_Per_Year,DAY(Loan_Start)),"")</f>
        <v>66547</v>
      </c>
      <c r="C240" s="70">
        <f>IF(Pay_Num&lt;&gt;"",I239,"")</f>
        <v>0</v>
      </c>
      <c r="D240" s="70">
        <f>IF(Pay_Num&lt;&gt;"",Scheduled_Monthly_Payment,"")</f>
        <v>71560.087675010276</v>
      </c>
      <c r="E240" s="71">
        <f>IF(AND(Pay_Num&lt;&gt;"",Sched_Pay+Scheduled_Extra_Payments&lt;Beg_Bal),Scheduled_Extra_Payments,IF(AND(Pay_Num&lt;&gt;"",Beg_Bal-Sched_Pay&gt;0),Beg_Bal-Sched_Pay,IF(Pay_Num&lt;&gt;"",0,"")))</f>
        <v>0</v>
      </c>
      <c r="F240" s="70">
        <f>IF(AND(Pay_Num&lt;&gt;"",Sched_Pay+Extra_Pay&lt;Beg_Bal),Sched_Pay+Extra_Pay,IF(Pay_Num&lt;&gt;"",Beg_Bal,""))</f>
        <v>0</v>
      </c>
      <c r="G240" s="70">
        <f>IF(Pay_Num&lt;&gt;"",Total_Pay-Int,"")</f>
        <v>0</v>
      </c>
      <c r="H240" s="70">
        <f>IF(Pay_Num&lt;&gt;"",Beg_Bal*Interest_Rate/Num_Pmt_Per_Year,"")</f>
        <v>0</v>
      </c>
      <c r="I240" s="70">
        <f>IF(AND(Pay_Num&lt;&gt;"",Sched_Pay+Extra_Pay&lt;Beg_Bal),Beg_Bal-Princ,IF(Pay_Num&lt;&gt;"",0,""))</f>
        <v>0</v>
      </c>
      <c r="J240" s="70">
        <f>SUM($H$18:$H240)</f>
        <v>431201.75350020552</v>
      </c>
    </row>
    <row r="241" spans="1:10" x14ac:dyDescent="0.3">
      <c r="A241" s="36">
        <f>IF(Values_Entered,A240+1,"")</f>
        <v>224</v>
      </c>
      <c r="B241" s="35">
        <f>IF(Pay_Num&lt;&gt;"",DATE(YEAR(Loan_Start),MONTH(Loan_Start)+(Pay_Num)*12/Num_Pmt_Per_Year,DAY(Loan_Start)),"")</f>
        <v>66639</v>
      </c>
      <c r="C241" s="70">
        <f>IF(Pay_Num&lt;&gt;"",I240,"")</f>
        <v>0</v>
      </c>
      <c r="D241" s="70">
        <f>IF(Pay_Num&lt;&gt;"",Scheduled_Monthly_Payment,"")</f>
        <v>71560.087675010276</v>
      </c>
      <c r="E241" s="71">
        <f>IF(AND(Pay_Num&lt;&gt;"",Sched_Pay+Scheduled_Extra_Payments&lt;Beg_Bal),Scheduled_Extra_Payments,IF(AND(Pay_Num&lt;&gt;"",Beg_Bal-Sched_Pay&gt;0),Beg_Bal-Sched_Pay,IF(Pay_Num&lt;&gt;"",0,"")))</f>
        <v>0</v>
      </c>
      <c r="F241" s="70">
        <f>IF(AND(Pay_Num&lt;&gt;"",Sched_Pay+Extra_Pay&lt;Beg_Bal),Sched_Pay+Extra_Pay,IF(Pay_Num&lt;&gt;"",Beg_Bal,""))</f>
        <v>0</v>
      </c>
      <c r="G241" s="70">
        <f>IF(Pay_Num&lt;&gt;"",Total_Pay-Int,"")</f>
        <v>0</v>
      </c>
      <c r="H241" s="70">
        <f>IF(Pay_Num&lt;&gt;"",Beg_Bal*Interest_Rate/Num_Pmt_Per_Year,"")</f>
        <v>0</v>
      </c>
      <c r="I241" s="70">
        <f>IF(AND(Pay_Num&lt;&gt;"",Sched_Pay+Extra_Pay&lt;Beg_Bal),Beg_Bal-Princ,IF(Pay_Num&lt;&gt;"",0,""))</f>
        <v>0</v>
      </c>
      <c r="J241" s="70">
        <f>SUM($H$18:$H241)</f>
        <v>431201.75350020552</v>
      </c>
    </row>
    <row r="242" spans="1:10" x14ac:dyDescent="0.3">
      <c r="A242" s="36">
        <f>IF(Values_Entered,A241+1,"")</f>
        <v>225</v>
      </c>
      <c r="B242" s="35">
        <f>IF(Pay_Num&lt;&gt;"",DATE(YEAR(Loan_Start),MONTH(Loan_Start)+(Pay_Num)*12/Num_Pmt_Per_Year,DAY(Loan_Start)),"")</f>
        <v>66731</v>
      </c>
      <c r="C242" s="70">
        <f>IF(Pay_Num&lt;&gt;"",I241,"")</f>
        <v>0</v>
      </c>
      <c r="D242" s="70">
        <f>IF(Pay_Num&lt;&gt;"",Scheduled_Monthly_Payment,"")</f>
        <v>71560.087675010276</v>
      </c>
      <c r="E242" s="71">
        <f>IF(AND(Pay_Num&lt;&gt;"",Sched_Pay+Scheduled_Extra_Payments&lt;Beg_Bal),Scheduled_Extra_Payments,IF(AND(Pay_Num&lt;&gt;"",Beg_Bal-Sched_Pay&gt;0),Beg_Bal-Sched_Pay,IF(Pay_Num&lt;&gt;"",0,"")))</f>
        <v>0</v>
      </c>
      <c r="F242" s="70">
        <f>IF(AND(Pay_Num&lt;&gt;"",Sched_Pay+Extra_Pay&lt;Beg_Bal),Sched_Pay+Extra_Pay,IF(Pay_Num&lt;&gt;"",Beg_Bal,""))</f>
        <v>0</v>
      </c>
      <c r="G242" s="70">
        <f>IF(Pay_Num&lt;&gt;"",Total_Pay-Int,"")</f>
        <v>0</v>
      </c>
      <c r="H242" s="70">
        <f>IF(Pay_Num&lt;&gt;"",Beg_Bal*Interest_Rate/Num_Pmt_Per_Year,"")</f>
        <v>0</v>
      </c>
      <c r="I242" s="70">
        <f>IF(AND(Pay_Num&lt;&gt;"",Sched_Pay+Extra_Pay&lt;Beg_Bal),Beg_Bal-Princ,IF(Pay_Num&lt;&gt;"",0,""))</f>
        <v>0</v>
      </c>
      <c r="J242" s="70">
        <f>SUM($H$18:$H242)</f>
        <v>431201.75350020552</v>
      </c>
    </row>
    <row r="243" spans="1:10" x14ac:dyDescent="0.3">
      <c r="A243" s="36">
        <f>IF(Values_Entered,A242+1,"")</f>
        <v>226</v>
      </c>
      <c r="B243" s="35">
        <f>IF(Pay_Num&lt;&gt;"",DATE(YEAR(Loan_Start),MONTH(Loan_Start)+(Pay_Num)*12/Num_Pmt_Per_Year,DAY(Loan_Start)),"")</f>
        <v>66822</v>
      </c>
      <c r="C243" s="70">
        <f>IF(Pay_Num&lt;&gt;"",I242,"")</f>
        <v>0</v>
      </c>
      <c r="D243" s="70">
        <f>IF(Pay_Num&lt;&gt;"",Scheduled_Monthly_Payment,"")</f>
        <v>71560.087675010276</v>
      </c>
      <c r="E243" s="71">
        <f>IF(AND(Pay_Num&lt;&gt;"",Sched_Pay+Scheduled_Extra_Payments&lt;Beg_Bal),Scheduled_Extra_Payments,IF(AND(Pay_Num&lt;&gt;"",Beg_Bal-Sched_Pay&gt;0),Beg_Bal-Sched_Pay,IF(Pay_Num&lt;&gt;"",0,"")))</f>
        <v>0</v>
      </c>
      <c r="F243" s="70">
        <f>IF(AND(Pay_Num&lt;&gt;"",Sched_Pay+Extra_Pay&lt;Beg_Bal),Sched_Pay+Extra_Pay,IF(Pay_Num&lt;&gt;"",Beg_Bal,""))</f>
        <v>0</v>
      </c>
      <c r="G243" s="70">
        <f>IF(Pay_Num&lt;&gt;"",Total_Pay-Int,"")</f>
        <v>0</v>
      </c>
      <c r="H243" s="70">
        <f>IF(Pay_Num&lt;&gt;"",Beg_Bal*Interest_Rate/Num_Pmt_Per_Year,"")</f>
        <v>0</v>
      </c>
      <c r="I243" s="70">
        <f>IF(AND(Pay_Num&lt;&gt;"",Sched_Pay+Extra_Pay&lt;Beg_Bal),Beg_Bal-Princ,IF(Pay_Num&lt;&gt;"",0,""))</f>
        <v>0</v>
      </c>
      <c r="J243" s="70">
        <f>SUM($H$18:$H243)</f>
        <v>431201.75350020552</v>
      </c>
    </row>
    <row r="244" spans="1:10" x14ac:dyDescent="0.3">
      <c r="A244" s="36">
        <f>IF(Values_Entered,A243+1,"")</f>
        <v>227</v>
      </c>
      <c r="B244" s="35">
        <f>IF(Pay_Num&lt;&gt;"",DATE(YEAR(Loan_Start),MONTH(Loan_Start)+(Pay_Num)*12/Num_Pmt_Per_Year,DAY(Loan_Start)),"")</f>
        <v>66912</v>
      </c>
      <c r="C244" s="70">
        <f>IF(Pay_Num&lt;&gt;"",I243,"")</f>
        <v>0</v>
      </c>
      <c r="D244" s="70">
        <f>IF(Pay_Num&lt;&gt;"",Scheduled_Monthly_Payment,"")</f>
        <v>71560.087675010276</v>
      </c>
      <c r="E244" s="71">
        <f>IF(AND(Pay_Num&lt;&gt;"",Sched_Pay+Scheduled_Extra_Payments&lt;Beg_Bal),Scheduled_Extra_Payments,IF(AND(Pay_Num&lt;&gt;"",Beg_Bal-Sched_Pay&gt;0),Beg_Bal-Sched_Pay,IF(Pay_Num&lt;&gt;"",0,"")))</f>
        <v>0</v>
      </c>
      <c r="F244" s="70">
        <f>IF(AND(Pay_Num&lt;&gt;"",Sched_Pay+Extra_Pay&lt;Beg_Bal),Sched_Pay+Extra_Pay,IF(Pay_Num&lt;&gt;"",Beg_Bal,""))</f>
        <v>0</v>
      </c>
      <c r="G244" s="70">
        <f>IF(Pay_Num&lt;&gt;"",Total_Pay-Int,"")</f>
        <v>0</v>
      </c>
      <c r="H244" s="70">
        <f>IF(Pay_Num&lt;&gt;"",Beg_Bal*Interest_Rate/Num_Pmt_Per_Year,"")</f>
        <v>0</v>
      </c>
      <c r="I244" s="70">
        <f>IF(AND(Pay_Num&lt;&gt;"",Sched_Pay+Extra_Pay&lt;Beg_Bal),Beg_Bal-Princ,IF(Pay_Num&lt;&gt;"",0,""))</f>
        <v>0</v>
      </c>
      <c r="J244" s="70">
        <f>SUM($H$18:$H244)</f>
        <v>431201.75350020552</v>
      </c>
    </row>
    <row r="245" spans="1:10" x14ac:dyDescent="0.3">
      <c r="A245" s="36">
        <f>IF(Values_Entered,A244+1,"")</f>
        <v>228</v>
      </c>
      <c r="B245" s="35">
        <f>IF(Pay_Num&lt;&gt;"",DATE(YEAR(Loan_Start),MONTH(Loan_Start)+(Pay_Num)*12/Num_Pmt_Per_Year,DAY(Loan_Start)),"")</f>
        <v>67004</v>
      </c>
      <c r="C245" s="70">
        <f>IF(Pay_Num&lt;&gt;"",I244,"")</f>
        <v>0</v>
      </c>
      <c r="D245" s="70">
        <f>IF(Pay_Num&lt;&gt;"",Scheduled_Monthly_Payment,"")</f>
        <v>71560.087675010276</v>
      </c>
      <c r="E245" s="71">
        <f>IF(AND(Pay_Num&lt;&gt;"",Sched_Pay+Scheduled_Extra_Payments&lt;Beg_Bal),Scheduled_Extra_Payments,IF(AND(Pay_Num&lt;&gt;"",Beg_Bal-Sched_Pay&gt;0),Beg_Bal-Sched_Pay,IF(Pay_Num&lt;&gt;"",0,"")))</f>
        <v>0</v>
      </c>
      <c r="F245" s="70">
        <f>IF(AND(Pay_Num&lt;&gt;"",Sched_Pay+Extra_Pay&lt;Beg_Bal),Sched_Pay+Extra_Pay,IF(Pay_Num&lt;&gt;"",Beg_Bal,""))</f>
        <v>0</v>
      </c>
      <c r="G245" s="70">
        <f>IF(Pay_Num&lt;&gt;"",Total_Pay-Int,"")</f>
        <v>0</v>
      </c>
      <c r="H245" s="70">
        <f>IF(Pay_Num&lt;&gt;"",Beg_Bal*Interest_Rate/Num_Pmt_Per_Year,"")</f>
        <v>0</v>
      </c>
      <c r="I245" s="70">
        <f>IF(AND(Pay_Num&lt;&gt;"",Sched_Pay+Extra_Pay&lt;Beg_Bal),Beg_Bal-Princ,IF(Pay_Num&lt;&gt;"",0,""))</f>
        <v>0</v>
      </c>
      <c r="J245" s="70">
        <f>SUM($H$18:$H245)</f>
        <v>431201.75350020552</v>
      </c>
    </row>
    <row r="246" spans="1:10" x14ac:dyDescent="0.3">
      <c r="A246" s="36">
        <f>IF(Values_Entered,A245+1,"")</f>
        <v>229</v>
      </c>
      <c r="B246" s="35">
        <f>IF(Pay_Num&lt;&gt;"",DATE(YEAR(Loan_Start),MONTH(Loan_Start)+(Pay_Num)*12/Num_Pmt_Per_Year,DAY(Loan_Start)),"")</f>
        <v>67096</v>
      </c>
      <c r="C246" s="70">
        <f>IF(Pay_Num&lt;&gt;"",I245,"")</f>
        <v>0</v>
      </c>
      <c r="D246" s="70">
        <f>IF(Pay_Num&lt;&gt;"",Scheduled_Monthly_Payment,"")</f>
        <v>71560.087675010276</v>
      </c>
      <c r="E246" s="71">
        <f>IF(AND(Pay_Num&lt;&gt;"",Sched_Pay+Scheduled_Extra_Payments&lt;Beg_Bal),Scheduled_Extra_Payments,IF(AND(Pay_Num&lt;&gt;"",Beg_Bal-Sched_Pay&gt;0),Beg_Bal-Sched_Pay,IF(Pay_Num&lt;&gt;"",0,"")))</f>
        <v>0</v>
      </c>
      <c r="F246" s="70">
        <f>IF(AND(Pay_Num&lt;&gt;"",Sched_Pay+Extra_Pay&lt;Beg_Bal),Sched_Pay+Extra_Pay,IF(Pay_Num&lt;&gt;"",Beg_Bal,""))</f>
        <v>0</v>
      </c>
      <c r="G246" s="70">
        <f>IF(Pay_Num&lt;&gt;"",Total_Pay-Int,"")</f>
        <v>0</v>
      </c>
      <c r="H246" s="70">
        <f>IF(Pay_Num&lt;&gt;"",Beg_Bal*Interest_Rate/Num_Pmt_Per_Year,"")</f>
        <v>0</v>
      </c>
      <c r="I246" s="70">
        <f>IF(AND(Pay_Num&lt;&gt;"",Sched_Pay+Extra_Pay&lt;Beg_Bal),Beg_Bal-Princ,IF(Pay_Num&lt;&gt;"",0,""))</f>
        <v>0</v>
      </c>
      <c r="J246" s="70">
        <f>SUM($H$18:$H246)</f>
        <v>431201.75350020552</v>
      </c>
    </row>
    <row r="247" spans="1:10" x14ac:dyDescent="0.3">
      <c r="A247" s="36">
        <f>IF(Values_Entered,A246+1,"")</f>
        <v>230</v>
      </c>
      <c r="B247" s="35">
        <f>IF(Pay_Num&lt;&gt;"",DATE(YEAR(Loan_Start),MONTH(Loan_Start)+(Pay_Num)*12/Num_Pmt_Per_Year,DAY(Loan_Start)),"")</f>
        <v>67187</v>
      </c>
      <c r="C247" s="70">
        <f>IF(Pay_Num&lt;&gt;"",I246,"")</f>
        <v>0</v>
      </c>
      <c r="D247" s="70">
        <f>IF(Pay_Num&lt;&gt;"",Scheduled_Monthly_Payment,"")</f>
        <v>71560.087675010276</v>
      </c>
      <c r="E247" s="71">
        <f>IF(AND(Pay_Num&lt;&gt;"",Sched_Pay+Scheduled_Extra_Payments&lt;Beg_Bal),Scheduled_Extra_Payments,IF(AND(Pay_Num&lt;&gt;"",Beg_Bal-Sched_Pay&gt;0),Beg_Bal-Sched_Pay,IF(Pay_Num&lt;&gt;"",0,"")))</f>
        <v>0</v>
      </c>
      <c r="F247" s="70">
        <f>IF(AND(Pay_Num&lt;&gt;"",Sched_Pay+Extra_Pay&lt;Beg_Bal),Sched_Pay+Extra_Pay,IF(Pay_Num&lt;&gt;"",Beg_Bal,""))</f>
        <v>0</v>
      </c>
      <c r="G247" s="70">
        <f>IF(Pay_Num&lt;&gt;"",Total_Pay-Int,"")</f>
        <v>0</v>
      </c>
      <c r="H247" s="70">
        <f>IF(Pay_Num&lt;&gt;"",Beg_Bal*Interest_Rate/Num_Pmt_Per_Year,"")</f>
        <v>0</v>
      </c>
      <c r="I247" s="70">
        <f>IF(AND(Pay_Num&lt;&gt;"",Sched_Pay+Extra_Pay&lt;Beg_Bal),Beg_Bal-Princ,IF(Pay_Num&lt;&gt;"",0,""))</f>
        <v>0</v>
      </c>
      <c r="J247" s="70">
        <f>SUM($H$18:$H247)</f>
        <v>431201.75350020552</v>
      </c>
    </row>
    <row r="248" spans="1:10" x14ac:dyDescent="0.3">
      <c r="A248" s="36">
        <f>IF(Values_Entered,A247+1,"")</f>
        <v>231</v>
      </c>
      <c r="B248" s="35">
        <f>IF(Pay_Num&lt;&gt;"",DATE(YEAR(Loan_Start),MONTH(Loan_Start)+(Pay_Num)*12/Num_Pmt_Per_Year,DAY(Loan_Start)),"")</f>
        <v>67278</v>
      </c>
      <c r="C248" s="70">
        <f>IF(Pay_Num&lt;&gt;"",I247,"")</f>
        <v>0</v>
      </c>
      <c r="D248" s="70">
        <f>IF(Pay_Num&lt;&gt;"",Scheduled_Monthly_Payment,"")</f>
        <v>71560.087675010276</v>
      </c>
      <c r="E248" s="71">
        <f>IF(AND(Pay_Num&lt;&gt;"",Sched_Pay+Scheduled_Extra_Payments&lt;Beg_Bal),Scheduled_Extra_Payments,IF(AND(Pay_Num&lt;&gt;"",Beg_Bal-Sched_Pay&gt;0),Beg_Bal-Sched_Pay,IF(Pay_Num&lt;&gt;"",0,"")))</f>
        <v>0</v>
      </c>
      <c r="F248" s="70">
        <f>IF(AND(Pay_Num&lt;&gt;"",Sched_Pay+Extra_Pay&lt;Beg_Bal),Sched_Pay+Extra_Pay,IF(Pay_Num&lt;&gt;"",Beg_Bal,""))</f>
        <v>0</v>
      </c>
      <c r="G248" s="70">
        <f>IF(Pay_Num&lt;&gt;"",Total_Pay-Int,"")</f>
        <v>0</v>
      </c>
      <c r="H248" s="70">
        <f>IF(Pay_Num&lt;&gt;"",Beg_Bal*Interest_Rate/Num_Pmt_Per_Year,"")</f>
        <v>0</v>
      </c>
      <c r="I248" s="70">
        <f>IF(AND(Pay_Num&lt;&gt;"",Sched_Pay+Extra_Pay&lt;Beg_Bal),Beg_Bal-Princ,IF(Pay_Num&lt;&gt;"",0,""))</f>
        <v>0</v>
      </c>
      <c r="J248" s="70">
        <f>SUM($H$18:$H248)</f>
        <v>431201.75350020552</v>
      </c>
    </row>
    <row r="249" spans="1:10" x14ac:dyDescent="0.3">
      <c r="A249" s="36">
        <f>IF(Values_Entered,A248+1,"")</f>
        <v>232</v>
      </c>
      <c r="B249" s="35">
        <f>IF(Pay_Num&lt;&gt;"",DATE(YEAR(Loan_Start),MONTH(Loan_Start)+(Pay_Num)*12/Num_Pmt_Per_Year,DAY(Loan_Start)),"")</f>
        <v>67370</v>
      </c>
      <c r="C249" s="70">
        <f>IF(Pay_Num&lt;&gt;"",I248,"")</f>
        <v>0</v>
      </c>
      <c r="D249" s="70">
        <f>IF(Pay_Num&lt;&gt;"",Scheduled_Monthly_Payment,"")</f>
        <v>71560.087675010276</v>
      </c>
      <c r="E249" s="71">
        <f>IF(AND(Pay_Num&lt;&gt;"",Sched_Pay+Scheduled_Extra_Payments&lt;Beg_Bal),Scheduled_Extra_Payments,IF(AND(Pay_Num&lt;&gt;"",Beg_Bal-Sched_Pay&gt;0),Beg_Bal-Sched_Pay,IF(Pay_Num&lt;&gt;"",0,"")))</f>
        <v>0</v>
      </c>
      <c r="F249" s="70">
        <f>IF(AND(Pay_Num&lt;&gt;"",Sched_Pay+Extra_Pay&lt;Beg_Bal),Sched_Pay+Extra_Pay,IF(Pay_Num&lt;&gt;"",Beg_Bal,""))</f>
        <v>0</v>
      </c>
      <c r="G249" s="70">
        <f>IF(Pay_Num&lt;&gt;"",Total_Pay-Int,"")</f>
        <v>0</v>
      </c>
      <c r="H249" s="70">
        <f>IF(Pay_Num&lt;&gt;"",Beg_Bal*Interest_Rate/Num_Pmt_Per_Year,"")</f>
        <v>0</v>
      </c>
      <c r="I249" s="70">
        <f>IF(AND(Pay_Num&lt;&gt;"",Sched_Pay+Extra_Pay&lt;Beg_Bal),Beg_Bal-Princ,IF(Pay_Num&lt;&gt;"",0,""))</f>
        <v>0</v>
      </c>
      <c r="J249" s="70">
        <f>SUM($H$18:$H249)</f>
        <v>431201.75350020552</v>
      </c>
    </row>
    <row r="250" spans="1:10" x14ac:dyDescent="0.3">
      <c r="A250" s="36">
        <f>IF(Values_Entered,A249+1,"")</f>
        <v>233</v>
      </c>
      <c r="B250" s="35">
        <f>IF(Pay_Num&lt;&gt;"",DATE(YEAR(Loan_Start),MONTH(Loan_Start)+(Pay_Num)*12/Num_Pmt_Per_Year,DAY(Loan_Start)),"")</f>
        <v>67462</v>
      </c>
      <c r="C250" s="70">
        <f>IF(Pay_Num&lt;&gt;"",I249,"")</f>
        <v>0</v>
      </c>
      <c r="D250" s="70">
        <f>IF(Pay_Num&lt;&gt;"",Scheduled_Monthly_Payment,"")</f>
        <v>71560.087675010276</v>
      </c>
      <c r="E250" s="71">
        <f>IF(AND(Pay_Num&lt;&gt;"",Sched_Pay+Scheduled_Extra_Payments&lt;Beg_Bal),Scheduled_Extra_Payments,IF(AND(Pay_Num&lt;&gt;"",Beg_Bal-Sched_Pay&gt;0),Beg_Bal-Sched_Pay,IF(Pay_Num&lt;&gt;"",0,"")))</f>
        <v>0</v>
      </c>
      <c r="F250" s="70">
        <f>IF(AND(Pay_Num&lt;&gt;"",Sched_Pay+Extra_Pay&lt;Beg_Bal),Sched_Pay+Extra_Pay,IF(Pay_Num&lt;&gt;"",Beg_Bal,""))</f>
        <v>0</v>
      </c>
      <c r="G250" s="70">
        <f>IF(Pay_Num&lt;&gt;"",Total_Pay-Int,"")</f>
        <v>0</v>
      </c>
      <c r="H250" s="70">
        <f>IF(Pay_Num&lt;&gt;"",Beg_Bal*Interest_Rate/Num_Pmt_Per_Year,"")</f>
        <v>0</v>
      </c>
      <c r="I250" s="70">
        <f>IF(AND(Pay_Num&lt;&gt;"",Sched_Pay+Extra_Pay&lt;Beg_Bal),Beg_Bal-Princ,IF(Pay_Num&lt;&gt;"",0,""))</f>
        <v>0</v>
      </c>
      <c r="J250" s="70">
        <f>SUM($H$18:$H250)</f>
        <v>431201.75350020552</v>
      </c>
    </row>
    <row r="251" spans="1:10" x14ac:dyDescent="0.3">
      <c r="A251" s="36">
        <f>IF(Values_Entered,A250+1,"")</f>
        <v>234</v>
      </c>
      <c r="B251" s="35">
        <f>IF(Pay_Num&lt;&gt;"",DATE(YEAR(Loan_Start),MONTH(Loan_Start)+(Pay_Num)*12/Num_Pmt_Per_Year,DAY(Loan_Start)),"")</f>
        <v>67553</v>
      </c>
      <c r="C251" s="70">
        <f>IF(Pay_Num&lt;&gt;"",I250,"")</f>
        <v>0</v>
      </c>
      <c r="D251" s="70">
        <f>IF(Pay_Num&lt;&gt;"",Scheduled_Monthly_Payment,"")</f>
        <v>71560.087675010276</v>
      </c>
      <c r="E251" s="71">
        <f>IF(AND(Pay_Num&lt;&gt;"",Sched_Pay+Scheduled_Extra_Payments&lt;Beg_Bal),Scheduled_Extra_Payments,IF(AND(Pay_Num&lt;&gt;"",Beg_Bal-Sched_Pay&gt;0),Beg_Bal-Sched_Pay,IF(Pay_Num&lt;&gt;"",0,"")))</f>
        <v>0</v>
      </c>
      <c r="F251" s="70">
        <f>IF(AND(Pay_Num&lt;&gt;"",Sched_Pay+Extra_Pay&lt;Beg_Bal),Sched_Pay+Extra_Pay,IF(Pay_Num&lt;&gt;"",Beg_Bal,""))</f>
        <v>0</v>
      </c>
      <c r="G251" s="70">
        <f>IF(Pay_Num&lt;&gt;"",Total_Pay-Int,"")</f>
        <v>0</v>
      </c>
      <c r="H251" s="70">
        <f>IF(Pay_Num&lt;&gt;"",Beg_Bal*Interest_Rate/Num_Pmt_Per_Year,"")</f>
        <v>0</v>
      </c>
      <c r="I251" s="70">
        <f>IF(AND(Pay_Num&lt;&gt;"",Sched_Pay+Extra_Pay&lt;Beg_Bal),Beg_Bal-Princ,IF(Pay_Num&lt;&gt;"",0,""))</f>
        <v>0</v>
      </c>
      <c r="J251" s="70">
        <f>SUM($H$18:$H251)</f>
        <v>431201.75350020552</v>
      </c>
    </row>
    <row r="252" spans="1:10" x14ac:dyDescent="0.3">
      <c r="A252" s="36">
        <f>IF(Values_Entered,A251+1,"")</f>
        <v>235</v>
      </c>
      <c r="B252" s="35">
        <f>IF(Pay_Num&lt;&gt;"",DATE(YEAR(Loan_Start),MONTH(Loan_Start)+(Pay_Num)*12/Num_Pmt_Per_Year,DAY(Loan_Start)),"")</f>
        <v>67643</v>
      </c>
      <c r="C252" s="70">
        <f>IF(Pay_Num&lt;&gt;"",I251,"")</f>
        <v>0</v>
      </c>
      <c r="D252" s="70">
        <f>IF(Pay_Num&lt;&gt;"",Scheduled_Monthly_Payment,"")</f>
        <v>71560.087675010276</v>
      </c>
      <c r="E252" s="71">
        <f>IF(AND(Pay_Num&lt;&gt;"",Sched_Pay+Scheduled_Extra_Payments&lt;Beg_Bal),Scheduled_Extra_Payments,IF(AND(Pay_Num&lt;&gt;"",Beg_Bal-Sched_Pay&gt;0),Beg_Bal-Sched_Pay,IF(Pay_Num&lt;&gt;"",0,"")))</f>
        <v>0</v>
      </c>
      <c r="F252" s="70">
        <f>IF(AND(Pay_Num&lt;&gt;"",Sched_Pay+Extra_Pay&lt;Beg_Bal),Sched_Pay+Extra_Pay,IF(Pay_Num&lt;&gt;"",Beg_Bal,""))</f>
        <v>0</v>
      </c>
      <c r="G252" s="70">
        <f>IF(Pay_Num&lt;&gt;"",Total_Pay-Int,"")</f>
        <v>0</v>
      </c>
      <c r="H252" s="70">
        <f>IF(Pay_Num&lt;&gt;"",Beg_Bal*Interest_Rate/Num_Pmt_Per_Year,"")</f>
        <v>0</v>
      </c>
      <c r="I252" s="70">
        <f>IF(AND(Pay_Num&lt;&gt;"",Sched_Pay+Extra_Pay&lt;Beg_Bal),Beg_Bal-Princ,IF(Pay_Num&lt;&gt;"",0,""))</f>
        <v>0</v>
      </c>
      <c r="J252" s="70">
        <f>SUM($H$18:$H252)</f>
        <v>431201.75350020552</v>
      </c>
    </row>
    <row r="253" spans="1:10" x14ac:dyDescent="0.3">
      <c r="A253" s="36">
        <f>IF(Values_Entered,A252+1,"")</f>
        <v>236</v>
      </c>
      <c r="B253" s="35">
        <f>IF(Pay_Num&lt;&gt;"",DATE(YEAR(Loan_Start),MONTH(Loan_Start)+(Pay_Num)*12/Num_Pmt_Per_Year,DAY(Loan_Start)),"")</f>
        <v>67735</v>
      </c>
      <c r="C253" s="70">
        <f>IF(Pay_Num&lt;&gt;"",I252,"")</f>
        <v>0</v>
      </c>
      <c r="D253" s="70">
        <f>IF(Pay_Num&lt;&gt;"",Scheduled_Monthly_Payment,"")</f>
        <v>71560.087675010276</v>
      </c>
      <c r="E253" s="71">
        <f>IF(AND(Pay_Num&lt;&gt;"",Sched_Pay+Scheduled_Extra_Payments&lt;Beg_Bal),Scheduled_Extra_Payments,IF(AND(Pay_Num&lt;&gt;"",Beg_Bal-Sched_Pay&gt;0),Beg_Bal-Sched_Pay,IF(Pay_Num&lt;&gt;"",0,"")))</f>
        <v>0</v>
      </c>
      <c r="F253" s="70">
        <f>IF(AND(Pay_Num&lt;&gt;"",Sched_Pay+Extra_Pay&lt;Beg_Bal),Sched_Pay+Extra_Pay,IF(Pay_Num&lt;&gt;"",Beg_Bal,""))</f>
        <v>0</v>
      </c>
      <c r="G253" s="70">
        <f>IF(Pay_Num&lt;&gt;"",Total_Pay-Int,"")</f>
        <v>0</v>
      </c>
      <c r="H253" s="70">
        <f>IF(Pay_Num&lt;&gt;"",Beg_Bal*Interest_Rate/Num_Pmt_Per_Year,"")</f>
        <v>0</v>
      </c>
      <c r="I253" s="70">
        <f>IF(AND(Pay_Num&lt;&gt;"",Sched_Pay+Extra_Pay&lt;Beg_Bal),Beg_Bal-Princ,IF(Pay_Num&lt;&gt;"",0,""))</f>
        <v>0</v>
      </c>
      <c r="J253" s="70">
        <f>SUM($H$18:$H253)</f>
        <v>431201.75350020552</v>
      </c>
    </row>
    <row r="254" spans="1:10" x14ac:dyDescent="0.3">
      <c r="A254" s="36">
        <f>IF(Values_Entered,A253+1,"")</f>
        <v>237</v>
      </c>
      <c r="B254" s="35">
        <f>IF(Pay_Num&lt;&gt;"",DATE(YEAR(Loan_Start),MONTH(Loan_Start)+(Pay_Num)*12/Num_Pmt_Per_Year,DAY(Loan_Start)),"")</f>
        <v>67827</v>
      </c>
      <c r="C254" s="70">
        <f>IF(Pay_Num&lt;&gt;"",I253,"")</f>
        <v>0</v>
      </c>
      <c r="D254" s="70">
        <f>IF(Pay_Num&lt;&gt;"",Scheduled_Monthly_Payment,"")</f>
        <v>71560.087675010276</v>
      </c>
      <c r="E254" s="71">
        <f>IF(AND(Pay_Num&lt;&gt;"",Sched_Pay+Scheduled_Extra_Payments&lt;Beg_Bal),Scheduled_Extra_Payments,IF(AND(Pay_Num&lt;&gt;"",Beg_Bal-Sched_Pay&gt;0),Beg_Bal-Sched_Pay,IF(Pay_Num&lt;&gt;"",0,"")))</f>
        <v>0</v>
      </c>
      <c r="F254" s="70">
        <f>IF(AND(Pay_Num&lt;&gt;"",Sched_Pay+Extra_Pay&lt;Beg_Bal),Sched_Pay+Extra_Pay,IF(Pay_Num&lt;&gt;"",Beg_Bal,""))</f>
        <v>0</v>
      </c>
      <c r="G254" s="70">
        <f>IF(Pay_Num&lt;&gt;"",Total_Pay-Int,"")</f>
        <v>0</v>
      </c>
      <c r="H254" s="70">
        <f>IF(Pay_Num&lt;&gt;"",Beg_Bal*Interest_Rate/Num_Pmt_Per_Year,"")</f>
        <v>0</v>
      </c>
      <c r="I254" s="70">
        <f>IF(AND(Pay_Num&lt;&gt;"",Sched_Pay+Extra_Pay&lt;Beg_Bal),Beg_Bal-Princ,IF(Pay_Num&lt;&gt;"",0,""))</f>
        <v>0</v>
      </c>
      <c r="J254" s="70">
        <f>SUM($H$18:$H254)</f>
        <v>431201.75350020552</v>
      </c>
    </row>
    <row r="255" spans="1:10" x14ac:dyDescent="0.3">
      <c r="A255" s="36">
        <f>IF(Values_Entered,A254+1,"")</f>
        <v>238</v>
      </c>
      <c r="B255" s="35">
        <f>IF(Pay_Num&lt;&gt;"",DATE(YEAR(Loan_Start),MONTH(Loan_Start)+(Pay_Num)*12/Num_Pmt_Per_Year,DAY(Loan_Start)),"")</f>
        <v>67918</v>
      </c>
      <c r="C255" s="70">
        <f>IF(Pay_Num&lt;&gt;"",I254,"")</f>
        <v>0</v>
      </c>
      <c r="D255" s="70">
        <f>IF(Pay_Num&lt;&gt;"",Scheduled_Monthly_Payment,"")</f>
        <v>71560.087675010276</v>
      </c>
      <c r="E255" s="71">
        <f>IF(AND(Pay_Num&lt;&gt;"",Sched_Pay+Scheduled_Extra_Payments&lt;Beg_Bal),Scheduled_Extra_Payments,IF(AND(Pay_Num&lt;&gt;"",Beg_Bal-Sched_Pay&gt;0),Beg_Bal-Sched_Pay,IF(Pay_Num&lt;&gt;"",0,"")))</f>
        <v>0</v>
      </c>
      <c r="F255" s="70">
        <f>IF(AND(Pay_Num&lt;&gt;"",Sched_Pay+Extra_Pay&lt;Beg_Bal),Sched_Pay+Extra_Pay,IF(Pay_Num&lt;&gt;"",Beg_Bal,""))</f>
        <v>0</v>
      </c>
      <c r="G255" s="70">
        <f>IF(Pay_Num&lt;&gt;"",Total_Pay-Int,"")</f>
        <v>0</v>
      </c>
      <c r="H255" s="70">
        <f>IF(Pay_Num&lt;&gt;"",Beg_Bal*Interest_Rate/Num_Pmt_Per_Year,"")</f>
        <v>0</v>
      </c>
      <c r="I255" s="70">
        <f>IF(AND(Pay_Num&lt;&gt;"",Sched_Pay+Extra_Pay&lt;Beg_Bal),Beg_Bal-Princ,IF(Pay_Num&lt;&gt;"",0,""))</f>
        <v>0</v>
      </c>
      <c r="J255" s="70">
        <f>SUM($H$18:$H255)</f>
        <v>431201.75350020552</v>
      </c>
    </row>
    <row r="256" spans="1:10" x14ac:dyDescent="0.3">
      <c r="A256" s="36">
        <f>IF(Values_Entered,A255+1,"")</f>
        <v>239</v>
      </c>
      <c r="B256" s="35">
        <f>IF(Pay_Num&lt;&gt;"",DATE(YEAR(Loan_Start),MONTH(Loan_Start)+(Pay_Num)*12/Num_Pmt_Per_Year,DAY(Loan_Start)),"")</f>
        <v>68008</v>
      </c>
      <c r="C256" s="70">
        <f>IF(Pay_Num&lt;&gt;"",I255,"")</f>
        <v>0</v>
      </c>
      <c r="D256" s="70">
        <f>IF(Pay_Num&lt;&gt;"",Scheduled_Monthly_Payment,"")</f>
        <v>71560.087675010276</v>
      </c>
      <c r="E256" s="71">
        <f>IF(AND(Pay_Num&lt;&gt;"",Sched_Pay+Scheduled_Extra_Payments&lt;Beg_Bal),Scheduled_Extra_Payments,IF(AND(Pay_Num&lt;&gt;"",Beg_Bal-Sched_Pay&gt;0),Beg_Bal-Sched_Pay,IF(Pay_Num&lt;&gt;"",0,"")))</f>
        <v>0</v>
      </c>
      <c r="F256" s="70">
        <f>IF(AND(Pay_Num&lt;&gt;"",Sched_Pay+Extra_Pay&lt;Beg_Bal),Sched_Pay+Extra_Pay,IF(Pay_Num&lt;&gt;"",Beg_Bal,""))</f>
        <v>0</v>
      </c>
      <c r="G256" s="70">
        <f>IF(Pay_Num&lt;&gt;"",Total_Pay-Int,"")</f>
        <v>0</v>
      </c>
      <c r="H256" s="70">
        <f>IF(Pay_Num&lt;&gt;"",Beg_Bal*Interest_Rate/Num_Pmt_Per_Year,"")</f>
        <v>0</v>
      </c>
      <c r="I256" s="70">
        <f>IF(AND(Pay_Num&lt;&gt;"",Sched_Pay+Extra_Pay&lt;Beg_Bal),Beg_Bal-Princ,IF(Pay_Num&lt;&gt;"",0,""))</f>
        <v>0</v>
      </c>
      <c r="J256" s="70">
        <f>SUM($H$18:$H256)</f>
        <v>431201.75350020552</v>
      </c>
    </row>
    <row r="257" spans="1:10" x14ac:dyDescent="0.3">
      <c r="A257" s="36">
        <f>IF(Values_Entered,A256+1,"")</f>
        <v>240</v>
      </c>
      <c r="B257" s="35">
        <f>IF(Pay_Num&lt;&gt;"",DATE(YEAR(Loan_Start),MONTH(Loan_Start)+(Pay_Num)*12/Num_Pmt_Per_Year,DAY(Loan_Start)),"")</f>
        <v>68100</v>
      </c>
      <c r="C257" s="70">
        <f>IF(Pay_Num&lt;&gt;"",I256,"")</f>
        <v>0</v>
      </c>
      <c r="D257" s="70">
        <f>IF(Pay_Num&lt;&gt;"",Scheduled_Monthly_Payment,"")</f>
        <v>71560.087675010276</v>
      </c>
      <c r="E257" s="71">
        <f>IF(AND(Pay_Num&lt;&gt;"",Sched_Pay+Scheduled_Extra_Payments&lt;Beg_Bal),Scheduled_Extra_Payments,IF(AND(Pay_Num&lt;&gt;"",Beg_Bal-Sched_Pay&gt;0),Beg_Bal-Sched_Pay,IF(Pay_Num&lt;&gt;"",0,"")))</f>
        <v>0</v>
      </c>
      <c r="F257" s="70">
        <f>IF(AND(Pay_Num&lt;&gt;"",Sched_Pay+Extra_Pay&lt;Beg_Bal),Sched_Pay+Extra_Pay,IF(Pay_Num&lt;&gt;"",Beg_Bal,""))</f>
        <v>0</v>
      </c>
      <c r="G257" s="70">
        <f>IF(Pay_Num&lt;&gt;"",Total_Pay-Int,"")</f>
        <v>0</v>
      </c>
      <c r="H257" s="70">
        <f>IF(Pay_Num&lt;&gt;"",Beg_Bal*Interest_Rate/Num_Pmt_Per_Year,"")</f>
        <v>0</v>
      </c>
      <c r="I257" s="70">
        <f>IF(AND(Pay_Num&lt;&gt;"",Sched_Pay+Extra_Pay&lt;Beg_Bal),Beg_Bal-Princ,IF(Pay_Num&lt;&gt;"",0,""))</f>
        <v>0</v>
      </c>
      <c r="J257" s="70">
        <f>SUM($H$18:$H257)</f>
        <v>431201.75350020552</v>
      </c>
    </row>
    <row r="258" spans="1:10" x14ac:dyDescent="0.3">
      <c r="A258" s="36">
        <f>IF(Values_Entered,A257+1,"")</f>
        <v>241</v>
      </c>
      <c r="B258" s="35">
        <f>IF(Pay_Num&lt;&gt;"",DATE(YEAR(Loan_Start),MONTH(Loan_Start)+(Pay_Num)*12/Num_Pmt_Per_Year,DAY(Loan_Start)),"")</f>
        <v>68192</v>
      </c>
      <c r="C258" s="70">
        <f>IF(Pay_Num&lt;&gt;"",I257,"")</f>
        <v>0</v>
      </c>
      <c r="D258" s="70">
        <f>IF(Pay_Num&lt;&gt;"",Scheduled_Monthly_Payment,"")</f>
        <v>71560.087675010276</v>
      </c>
      <c r="E258" s="71">
        <f>IF(AND(Pay_Num&lt;&gt;"",Sched_Pay+Scheduled_Extra_Payments&lt;Beg_Bal),Scheduled_Extra_Payments,IF(AND(Pay_Num&lt;&gt;"",Beg_Bal-Sched_Pay&gt;0),Beg_Bal-Sched_Pay,IF(Pay_Num&lt;&gt;"",0,"")))</f>
        <v>0</v>
      </c>
      <c r="F258" s="70">
        <f>IF(AND(Pay_Num&lt;&gt;"",Sched_Pay+Extra_Pay&lt;Beg_Bal),Sched_Pay+Extra_Pay,IF(Pay_Num&lt;&gt;"",Beg_Bal,""))</f>
        <v>0</v>
      </c>
      <c r="G258" s="70">
        <f>IF(Pay_Num&lt;&gt;"",Total_Pay-Int,"")</f>
        <v>0</v>
      </c>
      <c r="H258" s="70">
        <f>IF(Pay_Num&lt;&gt;"",Beg_Bal*Interest_Rate/Num_Pmt_Per_Year,"")</f>
        <v>0</v>
      </c>
      <c r="I258" s="70">
        <f>IF(AND(Pay_Num&lt;&gt;"",Sched_Pay+Extra_Pay&lt;Beg_Bal),Beg_Bal-Princ,IF(Pay_Num&lt;&gt;"",0,""))</f>
        <v>0</v>
      </c>
      <c r="J258" s="70">
        <f>SUM($H$18:$H258)</f>
        <v>431201.75350020552</v>
      </c>
    </row>
    <row r="259" spans="1:10" x14ac:dyDescent="0.3">
      <c r="A259" s="36">
        <f>IF(Values_Entered,A258+1,"")</f>
        <v>242</v>
      </c>
      <c r="B259" s="35">
        <f>IF(Pay_Num&lt;&gt;"",DATE(YEAR(Loan_Start),MONTH(Loan_Start)+(Pay_Num)*12/Num_Pmt_Per_Year,DAY(Loan_Start)),"")</f>
        <v>68283</v>
      </c>
      <c r="C259" s="70">
        <f>IF(Pay_Num&lt;&gt;"",I258,"")</f>
        <v>0</v>
      </c>
      <c r="D259" s="70">
        <f>IF(Pay_Num&lt;&gt;"",Scheduled_Monthly_Payment,"")</f>
        <v>71560.087675010276</v>
      </c>
      <c r="E259" s="71">
        <f>IF(AND(Pay_Num&lt;&gt;"",Sched_Pay+Scheduled_Extra_Payments&lt;Beg_Bal),Scheduled_Extra_Payments,IF(AND(Pay_Num&lt;&gt;"",Beg_Bal-Sched_Pay&gt;0),Beg_Bal-Sched_Pay,IF(Pay_Num&lt;&gt;"",0,"")))</f>
        <v>0</v>
      </c>
      <c r="F259" s="70">
        <f>IF(AND(Pay_Num&lt;&gt;"",Sched_Pay+Extra_Pay&lt;Beg_Bal),Sched_Pay+Extra_Pay,IF(Pay_Num&lt;&gt;"",Beg_Bal,""))</f>
        <v>0</v>
      </c>
      <c r="G259" s="70">
        <f>IF(Pay_Num&lt;&gt;"",Total_Pay-Int,"")</f>
        <v>0</v>
      </c>
      <c r="H259" s="70">
        <f>IF(Pay_Num&lt;&gt;"",Beg_Bal*Interest_Rate/Num_Pmt_Per_Year,"")</f>
        <v>0</v>
      </c>
      <c r="I259" s="70">
        <f>IF(AND(Pay_Num&lt;&gt;"",Sched_Pay+Extra_Pay&lt;Beg_Bal),Beg_Bal-Princ,IF(Pay_Num&lt;&gt;"",0,""))</f>
        <v>0</v>
      </c>
      <c r="J259" s="70">
        <f>SUM($H$18:$H259)</f>
        <v>431201.75350020552</v>
      </c>
    </row>
    <row r="260" spans="1:10" x14ac:dyDescent="0.3">
      <c r="A260" s="36">
        <f>IF(Values_Entered,A259+1,"")</f>
        <v>243</v>
      </c>
      <c r="B260" s="35">
        <f>IF(Pay_Num&lt;&gt;"",DATE(YEAR(Loan_Start),MONTH(Loan_Start)+(Pay_Num)*12/Num_Pmt_Per_Year,DAY(Loan_Start)),"")</f>
        <v>68373</v>
      </c>
      <c r="C260" s="70">
        <f>IF(Pay_Num&lt;&gt;"",I259,"")</f>
        <v>0</v>
      </c>
      <c r="D260" s="70">
        <f>IF(Pay_Num&lt;&gt;"",Scheduled_Monthly_Payment,"")</f>
        <v>71560.087675010276</v>
      </c>
      <c r="E260" s="71">
        <f>IF(AND(Pay_Num&lt;&gt;"",Sched_Pay+Scheduled_Extra_Payments&lt;Beg_Bal),Scheduled_Extra_Payments,IF(AND(Pay_Num&lt;&gt;"",Beg_Bal-Sched_Pay&gt;0),Beg_Bal-Sched_Pay,IF(Pay_Num&lt;&gt;"",0,"")))</f>
        <v>0</v>
      </c>
      <c r="F260" s="70">
        <f>IF(AND(Pay_Num&lt;&gt;"",Sched_Pay+Extra_Pay&lt;Beg_Bal),Sched_Pay+Extra_Pay,IF(Pay_Num&lt;&gt;"",Beg_Bal,""))</f>
        <v>0</v>
      </c>
      <c r="G260" s="70">
        <f>IF(Pay_Num&lt;&gt;"",Total_Pay-Int,"")</f>
        <v>0</v>
      </c>
      <c r="H260" s="70">
        <f>IF(Pay_Num&lt;&gt;"",Beg_Bal*Interest_Rate/Num_Pmt_Per_Year,"")</f>
        <v>0</v>
      </c>
      <c r="I260" s="70">
        <f>IF(AND(Pay_Num&lt;&gt;"",Sched_Pay+Extra_Pay&lt;Beg_Bal),Beg_Bal-Princ,IF(Pay_Num&lt;&gt;"",0,""))</f>
        <v>0</v>
      </c>
      <c r="J260" s="70">
        <f>SUM($H$18:$H260)</f>
        <v>431201.75350020552</v>
      </c>
    </row>
    <row r="261" spans="1:10" x14ac:dyDescent="0.3">
      <c r="A261" s="36">
        <f>IF(Values_Entered,A260+1,"")</f>
        <v>244</v>
      </c>
      <c r="B261" s="35">
        <f>IF(Pay_Num&lt;&gt;"",DATE(YEAR(Loan_Start),MONTH(Loan_Start)+(Pay_Num)*12/Num_Pmt_Per_Year,DAY(Loan_Start)),"")</f>
        <v>68465</v>
      </c>
      <c r="C261" s="70">
        <f>IF(Pay_Num&lt;&gt;"",I260,"")</f>
        <v>0</v>
      </c>
      <c r="D261" s="70">
        <f>IF(Pay_Num&lt;&gt;"",Scheduled_Monthly_Payment,"")</f>
        <v>71560.087675010276</v>
      </c>
      <c r="E261" s="71">
        <f>IF(AND(Pay_Num&lt;&gt;"",Sched_Pay+Scheduled_Extra_Payments&lt;Beg_Bal),Scheduled_Extra_Payments,IF(AND(Pay_Num&lt;&gt;"",Beg_Bal-Sched_Pay&gt;0),Beg_Bal-Sched_Pay,IF(Pay_Num&lt;&gt;"",0,"")))</f>
        <v>0</v>
      </c>
      <c r="F261" s="70">
        <f>IF(AND(Pay_Num&lt;&gt;"",Sched_Pay+Extra_Pay&lt;Beg_Bal),Sched_Pay+Extra_Pay,IF(Pay_Num&lt;&gt;"",Beg_Bal,""))</f>
        <v>0</v>
      </c>
      <c r="G261" s="70">
        <f>IF(Pay_Num&lt;&gt;"",Total_Pay-Int,"")</f>
        <v>0</v>
      </c>
      <c r="H261" s="70">
        <f>IF(Pay_Num&lt;&gt;"",Beg_Bal*Interest_Rate/Num_Pmt_Per_Year,"")</f>
        <v>0</v>
      </c>
      <c r="I261" s="70">
        <f>IF(AND(Pay_Num&lt;&gt;"",Sched_Pay+Extra_Pay&lt;Beg_Bal),Beg_Bal-Princ,IF(Pay_Num&lt;&gt;"",0,""))</f>
        <v>0</v>
      </c>
      <c r="J261" s="70">
        <f>SUM($H$18:$H261)</f>
        <v>431201.75350020552</v>
      </c>
    </row>
    <row r="262" spans="1:10" x14ac:dyDescent="0.3">
      <c r="A262" s="36">
        <f>IF(Values_Entered,A261+1,"")</f>
        <v>245</v>
      </c>
      <c r="B262" s="35">
        <f>IF(Pay_Num&lt;&gt;"",DATE(YEAR(Loan_Start),MONTH(Loan_Start)+(Pay_Num)*12/Num_Pmt_Per_Year,DAY(Loan_Start)),"")</f>
        <v>68557</v>
      </c>
      <c r="C262" s="70">
        <f>IF(Pay_Num&lt;&gt;"",I261,"")</f>
        <v>0</v>
      </c>
      <c r="D262" s="70">
        <f>IF(Pay_Num&lt;&gt;"",Scheduled_Monthly_Payment,"")</f>
        <v>71560.087675010276</v>
      </c>
      <c r="E262" s="71">
        <f>IF(AND(Pay_Num&lt;&gt;"",Sched_Pay+Scheduled_Extra_Payments&lt;Beg_Bal),Scheduled_Extra_Payments,IF(AND(Pay_Num&lt;&gt;"",Beg_Bal-Sched_Pay&gt;0),Beg_Bal-Sched_Pay,IF(Pay_Num&lt;&gt;"",0,"")))</f>
        <v>0</v>
      </c>
      <c r="F262" s="70">
        <f>IF(AND(Pay_Num&lt;&gt;"",Sched_Pay+Extra_Pay&lt;Beg_Bal),Sched_Pay+Extra_Pay,IF(Pay_Num&lt;&gt;"",Beg_Bal,""))</f>
        <v>0</v>
      </c>
      <c r="G262" s="70">
        <f>IF(Pay_Num&lt;&gt;"",Total_Pay-Int,"")</f>
        <v>0</v>
      </c>
      <c r="H262" s="70">
        <f>IF(Pay_Num&lt;&gt;"",Beg_Bal*Interest_Rate/Num_Pmt_Per_Year,"")</f>
        <v>0</v>
      </c>
      <c r="I262" s="70">
        <f>IF(AND(Pay_Num&lt;&gt;"",Sched_Pay+Extra_Pay&lt;Beg_Bal),Beg_Bal-Princ,IF(Pay_Num&lt;&gt;"",0,""))</f>
        <v>0</v>
      </c>
      <c r="J262" s="70">
        <f>SUM($H$18:$H262)</f>
        <v>431201.75350020552</v>
      </c>
    </row>
    <row r="263" spans="1:10" x14ac:dyDescent="0.3">
      <c r="A263" s="36">
        <f>IF(Values_Entered,A262+1,"")</f>
        <v>246</v>
      </c>
      <c r="B263" s="35">
        <f>IF(Pay_Num&lt;&gt;"",DATE(YEAR(Loan_Start),MONTH(Loan_Start)+(Pay_Num)*12/Num_Pmt_Per_Year,DAY(Loan_Start)),"")</f>
        <v>68648</v>
      </c>
      <c r="C263" s="70">
        <f>IF(Pay_Num&lt;&gt;"",I262,"")</f>
        <v>0</v>
      </c>
      <c r="D263" s="70">
        <f>IF(Pay_Num&lt;&gt;"",Scheduled_Monthly_Payment,"")</f>
        <v>71560.087675010276</v>
      </c>
      <c r="E263" s="71">
        <f>IF(AND(Pay_Num&lt;&gt;"",Sched_Pay+Scheduled_Extra_Payments&lt;Beg_Bal),Scheduled_Extra_Payments,IF(AND(Pay_Num&lt;&gt;"",Beg_Bal-Sched_Pay&gt;0),Beg_Bal-Sched_Pay,IF(Pay_Num&lt;&gt;"",0,"")))</f>
        <v>0</v>
      </c>
      <c r="F263" s="70">
        <f>IF(AND(Pay_Num&lt;&gt;"",Sched_Pay+Extra_Pay&lt;Beg_Bal),Sched_Pay+Extra_Pay,IF(Pay_Num&lt;&gt;"",Beg_Bal,""))</f>
        <v>0</v>
      </c>
      <c r="G263" s="70">
        <f>IF(Pay_Num&lt;&gt;"",Total_Pay-Int,"")</f>
        <v>0</v>
      </c>
      <c r="H263" s="70">
        <f>IF(Pay_Num&lt;&gt;"",Beg_Bal*Interest_Rate/Num_Pmt_Per_Year,"")</f>
        <v>0</v>
      </c>
      <c r="I263" s="70">
        <f>IF(AND(Pay_Num&lt;&gt;"",Sched_Pay+Extra_Pay&lt;Beg_Bal),Beg_Bal-Princ,IF(Pay_Num&lt;&gt;"",0,""))</f>
        <v>0</v>
      </c>
      <c r="J263" s="70">
        <f>SUM($H$18:$H263)</f>
        <v>431201.75350020552</v>
      </c>
    </row>
    <row r="264" spans="1:10" x14ac:dyDescent="0.3">
      <c r="A264" s="36">
        <f>IF(Values_Entered,A263+1,"")</f>
        <v>247</v>
      </c>
      <c r="B264" s="35">
        <f>IF(Pay_Num&lt;&gt;"",DATE(YEAR(Loan_Start),MONTH(Loan_Start)+(Pay_Num)*12/Num_Pmt_Per_Year,DAY(Loan_Start)),"")</f>
        <v>68739</v>
      </c>
      <c r="C264" s="70">
        <f>IF(Pay_Num&lt;&gt;"",I263,"")</f>
        <v>0</v>
      </c>
      <c r="D264" s="70">
        <f>IF(Pay_Num&lt;&gt;"",Scheduled_Monthly_Payment,"")</f>
        <v>71560.087675010276</v>
      </c>
      <c r="E264" s="71">
        <f>IF(AND(Pay_Num&lt;&gt;"",Sched_Pay+Scheduled_Extra_Payments&lt;Beg_Bal),Scheduled_Extra_Payments,IF(AND(Pay_Num&lt;&gt;"",Beg_Bal-Sched_Pay&gt;0),Beg_Bal-Sched_Pay,IF(Pay_Num&lt;&gt;"",0,"")))</f>
        <v>0</v>
      </c>
      <c r="F264" s="70">
        <f>IF(AND(Pay_Num&lt;&gt;"",Sched_Pay+Extra_Pay&lt;Beg_Bal),Sched_Pay+Extra_Pay,IF(Pay_Num&lt;&gt;"",Beg_Bal,""))</f>
        <v>0</v>
      </c>
      <c r="G264" s="70">
        <f>IF(Pay_Num&lt;&gt;"",Total_Pay-Int,"")</f>
        <v>0</v>
      </c>
      <c r="H264" s="70">
        <f>IF(Pay_Num&lt;&gt;"",Beg_Bal*Interest_Rate/Num_Pmt_Per_Year,"")</f>
        <v>0</v>
      </c>
      <c r="I264" s="70">
        <f>IF(AND(Pay_Num&lt;&gt;"",Sched_Pay+Extra_Pay&lt;Beg_Bal),Beg_Bal-Princ,IF(Pay_Num&lt;&gt;"",0,""))</f>
        <v>0</v>
      </c>
      <c r="J264" s="70">
        <f>SUM($H$18:$H264)</f>
        <v>431201.75350020552</v>
      </c>
    </row>
    <row r="265" spans="1:10" x14ac:dyDescent="0.3">
      <c r="A265" s="36">
        <f>IF(Values_Entered,A264+1,"")</f>
        <v>248</v>
      </c>
      <c r="B265" s="35">
        <f>IF(Pay_Num&lt;&gt;"",DATE(YEAR(Loan_Start),MONTH(Loan_Start)+(Pay_Num)*12/Num_Pmt_Per_Year,DAY(Loan_Start)),"")</f>
        <v>68831</v>
      </c>
      <c r="C265" s="70">
        <f>IF(Pay_Num&lt;&gt;"",I264,"")</f>
        <v>0</v>
      </c>
      <c r="D265" s="70">
        <f>IF(Pay_Num&lt;&gt;"",Scheduled_Monthly_Payment,"")</f>
        <v>71560.087675010276</v>
      </c>
      <c r="E265" s="71">
        <f>IF(AND(Pay_Num&lt;&gt;"",Sched_Pay+Scheduled_Extra_Payments&lt;Beg_Bal),Scheduled_Extra_Payments,IF(AND(Pay_Num&lt;&gt;"",Beg_Bal-Sched_Pay&gt;0),Beg_Bal-Sched_Pay,IF(Pay_Num&lt;&gt;"",0,"")))</f>
        <v>0</v>
      </c>
      <c r="F265" s="70">
        <f>IF(AND(Pay_Num&lt;&gt;"",Sched_Pay+Extra_Pay&lt;Beg_Bal),Sched_Pay+Extra_Pay,IF(Pay_Num&lt;&gt;"",Beg_Bal,""))</f>
        <v>0</v>
      </c>
      <c r="G265" s="70">
        <f>IF(Pay_Num&lt;&gt;"",Total_Pay-Int,"")</f>
        <v>0</v>
      </c>
      <c r="H265" s="70">
        <f>IF(Pay_Num&lt;&gt;"",Beg_Bal*Interest_Rate/Num_Pmt_Per_Year,"")</f>
        <v>0</v>
      </c>
      <c r="I265" s="70">
        <f>IF(AND(Pay_Num&lt;&gt;"",Sched_Pay+Extra_Pay&lt;Beg_Bal),Beg_Bal-Princ,IF(Pay_Num&lt;&gt;"",0,""))</f>
        <v>0</v>
      </c>
      <c r="J265" s="70">
        <f>SUM($H$18:$H265)</f>
        <v>431201.75350020552</v>
      </c>
    </row>
    <row r="266" spans="1:10" x14ac:dyDescent="0.3">
      <c r="A266" s="36">
        <f>IF(Values_Entered,A265+1,"")</f>
        <v>249</v>
      </c>
      <c r="B266" s="35">
        <f>IF(Pay_Num&lt;&gt;"",DATE(YEAR(Loan_Start),MONTH(Loan_Start)+(Pay_Num)*12/Num_Pmt_Per_Year,DAY(Loan_Start)),"")</f>
        <v>68923</v>
      </c>
      <c r="C266" s="70">
        <f>IF(Pay_Num&lt;&gt;"",I265,"")</f>
        <v>0</v>
      </c>
      <c r="D266" s="70">
        <f>IF(Pay_Num&lt;&gt;"",Scheduled_Monthly_Payment,"")</f>
        <v>71560.087675010276</v>
      </c>
      <c r="E266" s="71">
        <f>IF(AND(Pay_Num&lt;&gt;"",Sched_Pay+Scheduled_Extra_Payments&lt;Beg_Bal),Scheduled_Extra_Payments,IF(AND(Pay_Num&lt;&gt;"",Beg_Bal-Sched_Pay&gt;0),Beg_Bal-Sched_Pay,IF(Pay_Num&lt;&gt;"",0,"")))</f>
        <v>0</v>
      </c>
      <c r="F266" s="70">
        <f>IF(AND(Pay_Num&lt;&gt;"",Sched_Pay+Extra_Pay&lt;Beg_Bal),Sched_Pay+Extra_Pay,IF(Pay_Num&lt;&gt;"",Beg_Bal,""))</f>
        <v>0</v>
      </c>
      <c r="G266" s="70">
        <f>IF(Pay_Num&lt;&gt;"",Total_Pay-Int,"")</f>
        <v>0</v>
      </c>
      <c r="H266" s="70">
        <f>IF(Pay_Num&lt;&gt;"",Beg_Bal*Interest_Rate/Num_Pmt_Per_Year,"")</f>
        <v>0</v>
      </c>
      <c r="I266" s="70">
        <f>IF(AND(Pay_Num&lt;&gt;"",Sched_Pay+Extra_Pay&lt;Beg_Bal),Beg_Bal-Princ,IF(Pay_Num&lt;&gt;"",0,""))</f>
        <v>0</v>
      </c>
      <c r="J266" s="70">
        <f>SUM($H$18:$H266)</f>
        <v>431201.75350020552</v>
      </c>
    </row>
    <row r="267" spans="1:10" x14ac:dyDescent="0.3">
      <c r="A267" s="36">
        <f>IF(Values_Entered,A266+1,"")</f>
        <v>250</v>
      </c>
      <c r="B267" s="35">
        <f>IF(Pay_Num&lt;&gt;"",DATE(YEAR(Loan_Start),MONTH(Loan_Start)+(Pay_Num)*12/Num_Pmt_Per_Year,DAY(Loan_Start)),"")</f>
        <v>69014</v>
      </c>
      <c r="C267" s="70">
        <f>IF(Pay_Num&lt;&gt;"",I266,"")</f>
        <v>0</v>
      </c>
      <c r="D267" s="70">
        <f>IF(Pay_Num&lt;&gt;"",Scheduled_Monthly_Payment,"")</f>
        <v>71560.087675010276</v>
      </c>
      <c r="E267" s="71">
        <f>IF(AND(Pay_Num&lt;&gt;"",Sched_Pay+Scheduled_Extra_Payments&lt;Beg_Bal),Scheduled_Extra_Payments,IF(AND(Pay_Num&lt;&gt;"",Beg_Bal-Sched_Pay&gt;0),Beg_Bal-Sched_Pay,IF(Pay_Num&lt;&gt;"",0,"")))</f>
        <v>0</v>
      </c>
      <c r="F267" s="70">
        <f>IF(AND(Pay_Num&lt;&gt;"",Sched_Pay+Extra_Pay&lt;Beg_Bal),Sched_Pay+Extra_Pay,IF(Pay_Num&lt;&gt;"",Beg_Bal,""))</f>
        <v>0</v>
      </c>
      <c r="G267" s="70">
        <f>IF(Pay_Num&lt;&gt;"",Total_Pay-Int,"")</f>
        <v>0</v>
      </c>
      <c r="H267" s="70">
        <f>IF(Pay_Num&lt;&gt;"",Beg_Bal*Interest_Rate/Num_Pmt_Per_Year,"")</f>
        <v>0</v>
      </c>
      <c r="I267" s="70">
        <f>IF(AND(Pay_Num&lt;&gt;"",Sched_Pay+Extra_Pay&lt;Beg_Bal),Beg_Bal-Princ,IF(Pay_Num&lt;&gt;"",0,""))</f>
        <v>0</v>
      </c>
      <c r="J267" s="70">
        <f>SUM($H$18:$H267)</f>
        <v>431201.75350020552</v>
      </c>
    </row>
    <row r="268" spans="1:10" x14ac:dyDescent="0.3">
      <c r="A268" s="36">
        <f>IF(Values_Entered,A267+1,"")</f>
        <v>251</v>
      </c>
      <c r="B268" s="35">
        <f>IF(Pay_Num&lt;&gt;"",DATE(YEAR(Loan_Start),MONTH(Loan_Start)+(Pay_Num)*12/Num_Pmt_Per_Year,DAY(Loan_Start)),"")</f>
        <v>69104</v>
      </c>
      <c r="C268" s="70">
        <f>IF(Pay_Num&lt;&gt;"",I267,"")</f>
        <v>0</v>
      </c>
      <c r="D268" s="70">
        <f>IF(Pay_Num&lt;&gt;"",Scheduled_Monthly_Payment,"")</f>
        <v>71560.087675010276</v>
      </c>
      <c r="E268" s="71">
        <f>IF(AND(Pay_Num&lt;&gt;"",Sched_Pay+Scheduled_Extra_Payments&lt;Beg_Bal),Scheduled_Extra_Payments,IF(AND(Pay_Num&lt;&gt;"",Beg_Bal-Sched_Pay&gt;0),Beg_Bal-Sched_Pay,IF(Pay_Num&lt;&gt;"",0,"")))</f>
        <v>0</v>
      </c>
      <c r="F268" s="70">
        <f>IF(AND(Pay_Num&lt;&gt;"",Sched_Pay+Extra_Pay&lt;Beg_Bal),Sched_Pay+Extra_Pay,IF(Pay_Num&lt;&gt;"",Beg_Bal,""))</f>
        <v>0</v>
      </c>
      <c r="G268" s="70">
        <f>IF(Pay_Num&lt;&gt;"",Total_Pay-Int,"")</f>
        <v>0</v>
      </c>
      <c r="H268" s="70">
        <f>IF(Pay_Num&lt;&gt;"",Beg_Bal*Interest_Rate/Num_Pmt_Per_Year,"")</f>
        <v>0</v>
      </c>
      <c r="I268" s="70">
        <f>IF(AND(Pay_Num&lt;&gt;"",Sched_Pay+Extra_Pay&lt;Beg_Bal),Beg_Bal-Princ,IF(Pay_Num&lt;&gt;"",0,""))</f>
        <v>0</v>
      </c>
      <c r="J268" s="70">
        <f>SUM($H$18:$H268)</f>
        <v>431201.75350020552</v>
      </c>
    </row>
    <row r="269" spans="1:10" x14ac:dyDescent="0.3">
      <c r="A269" s="36">
        <f>IF(Values_Entered,A268+1,"")</f>
        <v>252</v>
      </c>
      <c r="B269" s="35">
        <f>IF(Pay_Num&lt;&gt;"",DATE(YEAR(Loan_Start),MONTH(Loan_Start)+(Pay_Num)*12/Num_Pmt_Per_Year,DAY(Loan_Start)),"")</f>
        <v>69196</v>
      </c>
      <c r="C269" s="70">
        <f>IF(Pay_Num&lt;&gt;"",I268,"")</f>
        <v>0</v>
      </c>
      <c r="D269" s="70">
        <f>IF(Pay_Num&lt;&gt;"",Scheduled_Monthly_Payment,"")</f>
        <v>71560.087675010276</v>
      </c>
      <c r="E269" s="71">
        <f>IF(AND(Pay_Num&lt;&gt;"",Sched_Pay+Scheduled_Extra_Payments&lt;Beg_Bal),Scheduled_Extra_Payments,IF(AND(Pay_Num&lt;&gt;"",Beg_Bal-Sched_Pay&gt;0),Beg_Bal-Sched_Pay,IF(Pay_Num&lt;&gt;"",0,"")))</f>
        <v>0</v>
      </c>
      <c r="F269" s="70">
        <f>IF(AND(Pay_Num&lt;&gt;"",Sched_Pay+Extra_Pay&lt;Beg_Bal),Sched_Pay+Extra_Pay,IF(Pay_Num&lt;&gt;"",Beg_Bal,""))</f>
        <v>0</v>
      </c>
      <c r="G269" s="70">
        <f>IF(Pay_Num&lt;&gt;"",Total_Pay-Int,"")</f>
        <v>0</v>
      </c>
      <c r="H269" s="70">
        <f>IF(Pay_Num&lt;&gt;"",Beg_Bal*Interest_Rate/Num_Pmt_Per_Year,"")</f>
        <v>0</v>
      </c>
      <c r="I269" s="70">
        <f>IF(AND(Pay_Num&lt;&gt;"",Sched_Pay+Extra_Pay&lt;Beg_Bal),Beg_Bal-Princ,IF(Pay_Num&lt;&gt;"",0,""))</f>
        <v>0</v>
      </c>
      <c r="J269" s="70">
        <f>SUM($H$18:$H269)</f>
        <v>431201.75350020552</v>
      </c>
    </row>
    <row r="270" spans="1:10" x14ac:dyDescent="0.3">
      <c r="A270" s="36">
        <f>IF(Values_Entered,A269+1,"")</f>
        <v>253</v>
      </c>
      <c r="B270" s="35">
        <f>IF(Pay_Num&lt;&gt;"",DATE(YEAR(Loan_Start),MONTH(Loan_Start)+(Pay_Num)*12/Num_Pmt_Per_Year,DAY(Loan_Start)),"")</f>
        <v>69288</v>
      </c>
      <c r="C270" s="70">
        <f>IF(Pay_Num&lt;&gt;"",I269,"")</f>
        <v>0</v>
      </c>
      <c r="D270" s="70">
        <f>IF(Pay_Num&lt;&gt;"",Scheduled_Monthly_Payment,"")</f>
        <v>71560.087675010276</v>
      </c>
      <c r="E270" s="71">
        <f>IF(AND(Pay_Num&lt;&gt;"",Sched_Pay+Scheduled_Extra_Payments&lt;Beg_Bal),Scheduled_Extra_Payments,IF(AND(Pay_Num&lt;&gt;"",Beg_Bal-Sched_Pay&gt;0),Beg_Bal-Sched_Pay,IF(Pay_Num&lt;&gt;"",0,"")))</f>
        <v>0</v>
      </c>
      <c r="F270" s="70">
        <f>IF(AND(Pay_Num&lt;&gt;"",Sched_Pay+Extra_Pay&lt;Beg_Bal),Sched_Pay+Extra_Pay,IF(Pay_Num&lt;&gt;"",Beg_Bal,""))</f>
        <v>0</v>
      </c>
      <c r="G270" s="70">
        <f>IF(Pay_Num&lt;&gt;"",Total_Pay-Int,"")</f>
        <v>0</v>
      </c>
      <c r="H270" s="70">
        <f>IF(Pay_Num&lt;&gt;"",Beg_Bal*Interest_Rate/Num_Pmt_Per_Year,"")</f>
        <v>0</v>
      </c>
      <c r="I270" s="70">
        <f>IF(AND(Pay_Num&lt;&gt;"",Sched_Pay+Extra_Pay&lt;Beg_Bal),Beg_Bal-Princ,IF(Pay_Num&lt;&gt;"",0,""))</f>
        <v>0</v>
      </c>
      <c r="J270" s="70">
        <f>SUM($H$18:$H270)</f>
        <v>431201.75350020552</v>
      </c>
    </row>
    <row r="271" spans="1:10" x14ac:dyDescent="0.3">
      <c r="A271" s="36">
        <f>IF(Values_Entered,A270+1,"")</f>
        <v>254</v>
      </c>
      <c r="B271" s="35">
        <f>IF(Pay_Num&lt;&gt;"",DATE(YEAR(Loan_Start),MONTH(Loan_Start)+(Pay_Num)*12/Num_Pmt_Per_Year,DAY(Loan_Start)),"")</f>
        <v>69379</v>
      </c>
      <c r="C271" s="70">
        <f>IF(Pay_Num&lt;&gt;"",I270,"")</f>
        <v>0</v>
      </c>
      <c r="D271" s="70">
        <f>IF(Pay_Num&lt;&gt;"",Scheduled_Monthly_Payment,"")</f>
        <v>71560.087675010276</v>
      </c>
      <c r="E271" s="71">
        <f>IF(AND(Pay_Num&lt;&gt;"",Sched_Pay+Scheduled_Extra_Payments&lt;Beg_Bal),Scheduled_Extra_Payments,IF(AND(Pay_Num&lt;&gt;"",Beg_Bal-Sched_Pay&gt;0),Beg_Bal-Sched_Pay,IF(Pay_Num&lt;&gt;"",0,"")))</f>
        <v>0</v>
      </c>
      <c r="F271" s="70">
        <f>IF(AND(Pay_Num&lt;&gt;"",Sched_Pay+Extra_Pay&lt;Beg_Bal),Sched_Pay+Extra_Pay,IF(Pay_Num&lt;&gt;"",Beg_Bal,""))</f>
        <v>0</v>
      </c>
      <c r="G271" s="70">
        <f>IF(Pay_Num&lt;&gt;"",Total_Pay-Int,"")</f>
        <v>0</v>
      </c>
      <c r="H271" s="70">
        <f>IF(Pay_Num&lt;&gt;"",Beg_Bal*Interest_Rate/Num_Pmt_Per_Year,"")</f>
        <v>0</v>
      </c>
      <c r="I271" s="70">
        <f>IF(AND(Pay_Num&lt;&gt;"",Sched_Pay+Extra_Pay&lt;Beg_Bal),Beg_Bal-Princ,IF(Pay_Num&lt;&gt;"",0,""))</f>
        <v>0</v>
      </c>
      <c r="J271" s="70">
        <f>SUM($H$18:$H271)</f>
        <v>431201.75350020552</v>
      </c>
    </row>
    <row r="272" spans="1:10" x14ac:dyDescent="0.3">
      <c r="A272" s="36">
        <f>IF(Values_Entered,A271+1,"")</f>
        <v>255</v>
      </c>
      <c r="B272" s="35">
        <f>IF(Pay_Num&lt;&gt;"",DATE(YEAR(Loan_Start),MONTH(Loan_Start)+(Pay_Num)*12/Num_Pmt_Per_Year,DAY(Loan_Start)),"")</f>
        <v>69469</v>
      </c>
      <c r="C272" s="70">
        <f>IF(Pay_Num&lt;&gt;"",I271,"")</f>
        <v>0</v>
      </c>
      <c r="D272" s="70">
        <f>IF(Pay_Num&lt;&gt;"",Scheduled_Monthly_Payment,"")</f>
        <v>71560.087675010276</v>
      </c>
      <c r="E272" s="71">
        <f>IF(AND(Pay_Num&lt;&gt;"",Sched_Pay+Scheduled_Extra_Payments&lt;Beg_Bal),Scheduled_Extra_Payments,IF(AND(Pay_Num&lt;&gt;"",Beg_Bal-Sched_Pay&gt;0),Beg_Bal-Sched_Pay,IF(Pay_Num&lt;&gt;"",0,"")))</f>
        <v>0</v>
      </c>
      <c r="F272" s="70">
        <f>IF(AND(Pay_Num&lt;&gt;"",Sched_Pay+Extra_Pay&lt;Beg_Bal),Sched_Pay+Extra_Pay,IF(Pay_Num&lt;&gt;"",Beg_Bal,""))</f>
        <v>0</v>
      </c>
      <c r="G272" s="70">
        <f>IF(Pay_Num&lt;&gt;"",Total_Pay-Int,"")</f>
        <v>0</v>
      </c>
      <c r="H272" s="70">
        <f>IF(Pay_Num&lt;&gt;"",Beg_Bal*Interest_Rate/Num_Pmt_Per_Year,"")</f>
        <v>0</v>
      </c>
      <c r="I272" s="70">
        <f>IF(AND(Pay_Num&lt;&gt;"",Sched_Pay+Extra_Pay&lt;Beg_Bal),Beg_Bal-Princ,IF(Pay_Num&lt;&gt;"",0,""))</f>
        <v>0</v>
      </c>
      <c r="J272" s="70">
        <f>SUM($H$18:$H272)</f>
        <v>431201.75350020552</v>
      </c>
    </row>
    <row r="273" spans="1:10" x14ac:dyDescent="0.3">
      <c r="A273" s="36">
        <f>IF(Values_Entered,A272+1,"")</f>
        <v>256</v>
      </c>
      <c r="B273" s="35">
        <f>IF(Pay_Num&lt;&gt;"",DATE(YEAR(Loan_Start),MONTH(Loan_Start)+(Pay_Num)*12/Num_Pmt_Per_Year,DAY(Loan_Start)),"")</f>
        <v>69561</v>
      </c>
      <c r="C273" s="70">
        <f>IF(Pay_Num&lt;&gt;"",I272,"")</f>
        <v>0</v>
      </c>
      <c r="D273" s="70">
        <f>IF(Pay_Num&lt;&gt;"",Scheduled_Monthly_Payment,"")</f>
        <v>71560.087675010276</v>
      </c>
      <c r="E273" s="71">
        <f>IF(AND(Pay_Num&lt;&gt;"",Sched_Pay+Scheduled_Extra_Payments&lt;Beg_Bal),Scheduled_Extra_Payments,IF(AND(Pay_Num&lt;&gt;"",Beg_Bal-Sched_Pay&gt;0),Beg_Bal-Sched_Pay,IF(Pay_Num&lt;&gt;"",0,"")))</f>
        <v>0</v>
      </c>
      <c r="F273" s="70">
        <f>IF(AND(Pay_Num&lt;&gt;"",Sched_Pay+Extra_Pay&lt;Beg_Bal),Sched_Pay+Extra_Pay,IF(Pay_Num&lt;&gt;"",Beg_Bal,""))</f>
        <v>0</v>
      </c>
      <c r="G273" s="70">
        <f>IF(Pay_Num&lt;&gt;"",Total_Pay-Int,"")</f>
        <v>0</v>
      </c>
      <c r="H273" s="70">
        <f>IF(Pay_Num&lt;&gt;"",Beg_Bal*Interest_Rate/Num_Pmt_Per_Year,"")</f>
        <v>0</v>
      </c>
      <c r="I273" s="70">
        <f>IF(AND(Pay_Num&lt;&gt;"",Sched_Pay+Extra_Pay&lt;Beg_Bal),Beg_Bal-Princ,IF(Pay_Num&lt;&gt;"",0,""))</f>
        <v>0</v>
      </c>
      <c r="J273" s="70">
        <f>SUM($H$18:$H273)</f>
        <v>431201.75350020552</v>
      </c>
    </row>
    <row r="274" spans="1:10" x14ac:dyDescent="0.3">
      <c r="A274" s="36">
        <f>IF(Values_Entered,A273+1,"")</f>
        <v>257</v>
      </c>
      <c r="B274" s="35">
        <f>IF(Pay_Num&lt;&gt;"",DATE(YEAR(Loan_Start),MONTH(Loan_Start)+(Pay_Num)*12/Num_Pmt_Per_Year,DAY(Loan_Start)),"")</f>
        <v>69653</v>
      </c>
      <c r="C274" s="70">
        <f>IF(Pay_Num&lt;&gt;"",I273,"")</f>
        <v>0</v>
      </c>
      <c r="D274" s="70">
        <f>IF(Pay_Num&lt;&gt;"",Scheduled_Monthly_Payment,"")</f>
        <v>71560.087675010276</v>
      </c>
      <c r="E274" s="71">
        <f>IF(AND(Pay_Num&lt;&gt;"",Sched_Pay+Scheduled_Extra_Payments&lt;Beg_Bal),Scheduled_Extra_Payments,IF(AND(Pay_Num&lt;&gt;"",Beg_Bal-Sched_Pay&gt;0),Beg_Bal-Sched_Pay,IF(Pay_Num&lt;&gt;"",0,"")))</f>
        <v>0</v>
      </c>
      <c r="F274" s="70">
        <f>IF(AND(Pay_Num&lt;&gt;"",Sched_Pay+Extra_Pay&lt;Beg_Bal),Sched_Pay+Extra_Pay,IF(Pay_Num&lt;&gt;"",Beg_Bal,""))</f>
        <v>0</v>
      </c>
      <c r="G274" s="70">
        <f>IF(Pay_Num&lt;&gt;"",Total_Pay-Int,"")</f>
        <v>0</v>
      </c>
      <c r="H274" s="70">
        <f>IF(Pay_Num&lt;&gt;"",Beg_Bal*Interest_Rate/Num_Pmt_Per_Year,"")</f>
        <v>0</v>
      </c>
      <c r="I274" s="70">
        <f>IF(AND(Pay_Num&lt;&gt;"",Sched_Pay+Extra_Pay&lt;Beg_Bal),Beg_Bal-Princ,IF(Pay_Num&lt;&gt;"",0,""))</f>
        <v>0</v>
      </c>
      <c r="J274" s="70">
        <f>SUM($H$18:$H274)</f>
        <v>431201.75350020552</v>
      </c>
    </row>
    <row r="275" spans="1:10" x14ac:dyDescent="0.3">
      <c r="A275" s="36">
        <f>IF(Values_Entered,A274+1,"")</f>
        <v>258</v>
      </c>
      <c r="B275" s="35">
        <f>IF(Pay_Num&lt;&gt;"",DATE(YEAR(Loan_Start),MONTH(Loan_Start)+(Pay_Num)*12/Num_Pmt_Per_Year,DAY(Loan_Start)),"")</f>
        <v>69744</v>
      </c>
      <c r="C275" s="70">
        <f>IF(Pay_Num&lt;&gt;"",I274,"")</f>
        <v>0</v>
      </c>
      <c r="D275" s="70">
        <f>IF(Pay_Num&lt;&gt;"",Scheduled_Monthly_Payment,"")</f>
        <v>71560.087675010276</v>
      </c>
      <c r="E275" s="71">
        <f>IF(AND(Pay_Num&lt;&gt;"",Sched_Pay+Scheduled_Extra_Payments&lt;Beg_Bal),Scheduled_Extra_Payments,IF(AND(Pay_Num&lt;&gt;"",Beg_Bal-Sched_Pay&gt;0),Beg_Bal-Sched_Pay,IF(Pay_Num&lt;&gt;"",0,"")))</f>
        <v>0</v>
      </c>
      <c r="F275" s="70">
        <f>IF(AND(Pay_Num&lt;&gt;"",Sched_Pay+Extra_Pay&lt;Beg_Bal),Sched_Pay+Extra_Pay,IF(Pay_Num&lt;&gt;"",Beg_Bal,""))</f>
        <v>0</v>
      </c>
      <c r="G275" s="70">
        <f>IF(Pay_Num&lt;&gt;"",Total_Pay-Int,"")</f>
        <v>0</v>
      </c>
      <c r="H275" s="70">
        <f>IF(Pay_Num&lt;&gt;"",Beg_Bal*Interest_Rate/Num_Pmt_Per_Year,"")</f>
        <v>0</v>
      </c>
      <c r="I275" s="70">
        <f>IF(AND(Pay_Num&lt;&gt;"",Sched_Pay+Extra_Pay&lt;Beg_Bal),Beg_Bal-Princ,IF(Pay_Num&lt;&gt;"",0,""))</f>
        <v>0</v>
      </c>
      <c r="J275" s="70">
        <f>SUM($H$18:$H275)</f>
        <v>431201.75350020552</v>
      </c>
    </row>
    <row r="276" spans="1:10" x14ac:dyDescent="0.3">
      <c r="A276" s="36">
        <f>IF(Values_Entered,A275+1,"")</f>
        <v>259</v>
      </c>
      <c r="B276" s="35">
        <f>IF(Pay_Num&lt;&gt;"",DATE(YEAR(Loan_Start),MONTH(Loan_Start)+(Pay_Num)*12/Num_Pmt_Per_Year,DAY(Loan_Start)),"")</f>
        <v>69834</v>
      </c>
      <c r="C276" s="70">
        <f>IF(Pay_Num&lt;&gt;"",I275,"")</f>
        <v>0</v>
      </c>
      <c r="D276" s="70">
        <f>IF(Pay_Num&lt;&gt;"",Scheduled_Monthly_Payment,"")</f>
        <v>71560.087675010276</v>
      </c>
      <c r="E276" s="71">
        <f>IF(AND(Pay_Num&lt;&gt;"",Sched_Pay+Scheduled_Extra_Payments&lt;Beg_Bal),Scheduled_Extra_Payments,IF(AND(Pay_Num&lt;&gt;"",Beg_Bal-Sched_Pay&gt;0),Beg_Bal-Sched_Pay,IF(Pay_Num&lt;&gt;"",0,"")))</f>
        <v>0</v>
      </c>
      <c r="F276" s="70">
        <f>IF(AND(Pay_Num&lt;&gt;"",Sched_Pay+Extra_Pay&lt;Beg_Bal),Sched_Pay+Extra_Pay,IF(Pay_Num&lt;&gt;"",Beg_Bal,""))</f>
        <v>0</v>
      </c>
      <c r="G276" s="70">
        <f>IF(Pay_Num&lt;&gt;"",Total_Pay-Int,"")</f>
        <v>0</v>
      </c>
      <c r="H276" s="70">
        <f>IF(Pay_Num&lt;&gt;"",Beg_Bal*Interest_Rate/Num_Pmt_Per_Year,"")</f>
        <v>0</v>
      </c>
      <c r="I276" s="70">
        <f>IF(AND(Pay_Num&lt;&gt;"",Sched_Pay+Extra_Pay&lt;Beg_Bal),Beg_Bal-Princ,IF(Pay_Num&lt;&gt;"",0,""))</f>
        <v>0</v>
      </c>
      <c r="J276" s="70">
        <f>SUM($H$18:$H276)</f>
        <v>431201.75350020552</v>
      </c>
    </row>
    <row r="277" spans="1:10" x14ac:dyDescent="0.3">
      <c r="A277" s="36">
        <f>IF(Values_Entered,A276+1,"")</f>
        <v>260</v>
      </c>
      <c r="B277" s="35">
        <f>IF(Pay_Num&lt;&gt;"",DATE(YEAR(Loan_Start),MONTH(Loan_Start)+(Pay_Num)*12/Num_Pmt_Per_Year,DAY(Loan_Start)),"")</f>
        <v>69926</v>
      </c>
      <c r="C277" s="70">
        <f>IF(Pay_Num&lt;&gt;"",I276,"")</f>
        <v>0</v>
      </c>
      <c r="D277" s="70">
        <f>IF(Pay_Num&lt;&gt;"",Scheduled_Monthly_Payment,"")</f>
        <v>71560.087675010276</v>
      </c>
      <c r="E277" s="71">
        <f>IF(AND(Pay_Num&lt;&gt;"",Sched_Pay+Scheduled_Extra_Payments&lt;Beg_Bal),Scheduled_Extra_Payments,IF(AND(Pay_Num&lt;&gt;"",Beg_Bal-Sched_Pay&gt;0),Beg_Bal-Sched_Pay,IF(Pay_Num&lt;&gt;"",0,"")))</f>
        <v>0</v>
      </c>
      <c r="F277" s="70">
        <f>IF(AND(Pay_Num&lt;&gt;"",Sched_Pay+Extra_Pay&lt;Beg_Bal),Sched_Pay+Extra_Pay,IF(Pay_Num&lt;&gt;"",Beg_Bal,""))</f>
        <v>0</v>
      </c>
      <c r="G277" s="70">
        <f>IF(Pay_Num&lt;&gt;"",Total_Pay-Int,"")</f>
        <v>0</v>
      </c>
      <c r="H277" s="70">
        <f>IF(Pay_Num&lt;&gt;"",Beg_Bal*Interest_Rate/Num_Pmt_Per_Year,"")</f>
        <v>0</v>
      </c>
      <c r="I277" s="70">
        <f>IF(AND(Pay_Num&lt;&gt;"",Sched_Pay+Extra_Pay&lt;Beg_Bal),Beg_Bal-Princ,IF(Pay_Num&lt;&gt;"",0,""))</f>
        <v>0</v>
      </c>
      <c r="J277" s="70">
        <f>SUM($H$18:$H277)</f>
        <v>431201.75350020552</v>
      </c>
    </row>
    <row r="278" spans="1:10" x14ac:dyDescent="0.3">
      <c r="A278" s="36">
        <f>IF(Values_Entered,A277+1,"")</f>
        <v>261</v>
      </c>
      <c r="B278" s="35">
        <f>IF(Pay_Num&lt;&gt;"",DATE(YEAR(Loan_Start),MONTH(Loan_Start)+(Pay_Num)*12/Num_Pmt_Per_Year,DAY(Loan_Start)),"")</f>
        <v>70018</v>
      </c>
      <c r="C278" s="70">
        <f>IF(Pay_Num&lt;&gt;"",I277,"")</f>
        <v>0</v>
      </c>
      <c r="D278" s="70">
        <f>IF(Pay_Num&lt;&gt;"",Scheduled_Monthly_Payment,"")</f>
        <v>71560.087675010276</v>
      </c>
      <c r="E278" s="71">
        <f>IF(AND(Pay_Num&lt;&gt;"",Sched_Pay+Scheduled_Extra_Payments&lt;Beg_Bal),Scheduled_Extra_Payments,IF(AND(Pay_Num&lt;&gt;"",Beg_Bal-Sched_Pay&gt;0),Beg_Bal-Sched_Pay,IF(Pay_Num&lt;&gt;"",0,"")))</f>
        <v>0</v>
      </c>
      <c r="F278" s="70">
        <f>IF(AND(Pay_Num&lt;&gt;"",Sched_Pay+Extra_Pay&lt;Beg_Bal),Sched_Pay+Extra_Pay,IF(Pay_Num&lt;&gt;"",Beg_Bal,""))</f>
        <v>0</v>
      </c>
      <c r="G278" s="70">
        <f>IF(Pay_Num&lt;&gt;"",Total_Pay-Int,"")</f>
        <v>0</v>
      </c>
      <c r="H278" s="70">
        <f>IF(Pay_Num&lt;&gt;"",Beg_Bal*Interest_Rate/Num_Pmt_Per_Year,"")</f>
        <v>0</v>
      </c>
      <c r="I278" s="70">
        <f>IF(AND(Pay_Num&lt;&gt;"",Sched_Pay+Extra_Pay&lt;Beg_Bal),Beg_Bal-Princ,IF(Pay_Num&lt;&gt;"",0,""))</f>
        <v>0</v>
      </c>
      <c r="J278" s="70">
        <f>SUM($H$18:$H278)</f>
        <v>431201.75350020552</v>
      </c>
    </row>
    <row r="279" spans="1:10" x14ac:dyDescent="0.3">
      <c r="A279" s="36">
        <f>IF(Values_Entered,A278+1,"")</f>
        <v>262</v>
      </c>
      <c r="B279" s="35">
        <f>IF(Pay_Num&lt;&gt;"",DATE(YEAR(Loan_Start),MONTH(Loan_Start)+(Pay_Num)*12/Num_Pmt_Per_Year,DAY(Loan_Start)),"")</f>
        <v>70109</v>
      </c>
      <c r="C279" s="70">
        <f>IF(Pay_Num&lt;&gt;"",I278,"")</f>
        <v>0</v>
      </c>
      <c r="D279" s="70">
        <f>IF(Pay_Num&lt;&gt;"",Scheduled_Monthly_Payment,"")</f>
        <v>71560.087675010276</v>
      </c>
      <c r="E279" s="71">
        <f>IF(AND(Pay_Num&lt;&gt;"",Sched_Pay+Scheduled_Extra_Payments&lt;Beg_Bal),Scheduled_Extra_Payments,IF(AND(Pay_Num&lt;&gt;"",Beg_Bal-Sched_Pay&gt;0),Beg_Bal-Sched_Pay,IF(Pay_Num&lt;&gt;"",0,"")))</f>
        <v>0</v>
      </c>
      <c r="F279" s="70">
        <f>IF(AND(Pay_Num&lt;&gt;"",Sched_Pay+Extra_Pay&lt;Beg_Bal),Sched_Pay+Extra_Pay,IF(Pay_Num&lt;&gt;"",Beg_Bal,""))</f>
        <v>0</v>
      </c>
      <c r="G279" s="70">
        <f>IF(Pay_Num&lt;&gt;"",Total_Pay-Int,"")</f>
        <v>0</v>
      </c>
      <c r="H279" s="70">
        <f>IF(Pay_Num&lt;&gt;"",Beg_Bal*Interest_Rate/Num_Pmt_Per_Year,"")</f>
        <v>0</v>
      </c>
      <c r="I279" s="70">
        <f>IF(AND(Pay_Num&lt;&gt;"",Sched_Pay+Extra_Pay&lt;Beg_Bal),Beg_Bal-Princ,IF(Pay_Num&lt;&gt;"",0,""))</f>
        <v>0</v>
      </c>
      <c r="J279" s="70">
        <f>SUM($H$18:$H279)</f>
        <v>431201.75350020552</v>
      </c>
    </row>
    <row r="280" spans="1:10" x14ac:dyDescent="0.3">
      <c r="A280" s="36">
        <f>IF(Values_Entered,A279+1,"")</f>
        <v>263</v>
      </c>
      <c r="B280" s="35">
        <f>IF(Pay_Num&lt;&gt;"",DATE(YEAR(Loan_Start),MONTH(Loan_Start)+(Pay_Num)*12/Num_Pmt_Per_Year,DAY(Loan_Start)),"")</f>
        <v>70200</v>
      </c>
      <c r="C280" s="70">
        <f>IF(Pay_Num&lt;&gt;"",I279,"")</f>
        <v>0</v>
      </c>
      <c r="D280" s="70">
        <f>IF(Pay_Num&lt;&gt;"",Scheduled_Monthly_Payment,"")</f>
        <v>71560.087675010276</v>
      </c>
      <c r="E280" s="71">
        <f>IF(AND(Pay_Num&lt;&gt;"",Sched_Pay+Scheduled_Extra_Payments&lt;Beg_Bal),Scheduled_Extra_Payments,IF(AND(Pay_Num&lt;&gt;"",Beg_Bal-Sched_Pay&gt;0),Beg_Bal-Sched_Pay,IF(Pay_Num&lt;&gt;"",0,"")))</f>
        <v>0</v>
      </c>
      <c r="F280" s="70">
        <f>IF(AND(Pay_Num&lt;&gt;"",Sched_Pay+Extra_Pay&lt;Beg_Bal),Sched_Pay+Extra_Pay,IF(Pay_Num&lt;&gt;"",Beg_Bal,""))</f>
        <v>0</v>
      </c>
      <c r="G280" s="70">
        <f>IF(Pay_Num&lt;&gt;"",Total_Pay-Int,"")</f>
        <v>0</v>
      </c>
      <c r="H280" s="70">
        <f>IF(Pay_Num&lt;&gt;"",Beg_Bal*Interest_Rate/Num_Pmt_Per_Year,"")</f>
        <v>0</v>
      </c>
      <c r="I280" s="70">
        <f>IF(AND(Pay_Num&lt;&gt;"",Sched_Pay+Extra_Pay&lt;Beg_Bal),Beg_Bal-Princ,IF(Pay_Num&lt;&gt;"",0,""))</f>
        <v>0</v>
      </c>
      <c r="J280" s="70">
        <f>SUM($H$18:$H280)</f>
        <v>431201.75350020552</v>
      </c>
    </row>
    <row r="281" spans="1:10" x14ac:dyDescent="0.3">
      <c r="A281" s="36">
        <f>IF(Values_Entered,A280+1,"")</f>
        <v>264</v>
      </c>
      <c r="B281" s="35">
        <f>IF(Pay_Num&lt;&gt;"",DATE(YEAR(Loan_Start),MONTH(Loan_Start)+(Pay_Num)*12/Num_Pmt_Per_Year,DAY(Loan_Start)),"")</f>
        <v>70292</v>
      </c>
      <c r="C281" s="70">
        <f>IF(Pay_Num&lt;&gt;"",I280,"")</f>
        <v>0</v>
      </c>
      <c r="D281" s="70">
        <f>IF(Pay_Num&lt;&gt;"",Scheduled_Monthly_Payment,"")</f>
        <v>71560.087675010276</v>
      </c>
      <c r="E281" s="71">
        <f>IF(AND(Pay_Num&lt;&gt;"",Sched_Pay+Scheduled_Extra_Payments&lt;Beg_Bal),Scheduled_Extra_Payments,IF(AND(Pay_Num&lt;&gt;"",Beg_Bal-Sched_Pay&gt;0),Beg_Bal-Sched_Pay,IF(Pay_Num&lt;&gt;"",0,"")))</f>
        <v>0</v>
      </c>
      <c r="F281" s="70">
        <f>IF(AND(Pay_Num&lt;&gt;"",Sched_Pay+Extra_Pay&lt;Beg_Bal),Sched_Pay+Extra_Pay,IF(Pay_Num&lt;&gt;"",Beg_Bal,""))</f>
        <v>0</v>
      </c>
      <c r="G281" s="70">
        <f>IF(Pay_Num&lt;&gt;"",Total_Pay-Int,"")</f>
        <v>0</v>
      </c>
      <c r="H281" s="70">
        <f>IF(Pay_Num&lt;&gt;"",Beg_Bal*Interest_Rate/Num_Pmt_Per_Year,"")</f>
        <v>0</v>
      </c>
      <c r="I281" s="70">
        <f>IF(AND(Pay_Num&lt;&gt;"",Sched_Pay+Extra_Pay&lt;Beg_Bal),Beg_Bal-Princ,IF(Pay_Num&lt;&gt;"",0,""))</f>
        <v>0</v>
      </c>
      <c r="J281" s="70">
        <f>SUM($H$18:$H281)</f>
        <v>431201.75350020552</v>
      </c>
    </row>
    <row r="282" spans="1:10" x14ac:dyDescent="0.3">
      <c r="A282" s="36">
        <f>IF(Values_Entered,A281+1,"")</f>
        <v>265</v>
      </c>
      <c r="B282" s="35">
        <f>IF(Pay_Num&lt;&gt;"",DATE(YEAR(Loan_Start),MONTH(Loan_Start)+(Pay_Num)*12/Num_Pmt_Per_Year,DAY(Loan_Start)),"")</f>
        <v>70384</v>
      </c>
      <c r="C282" s="70">
        <f>IF(Pay_Num&lt;&gt;"",I281,"")</f>
        <v>0</v>
      </c>
      <c r="D282" s="70">
        <f>IF(Pay_Num&lt;&gt;"",Scheduled_Monthly_Payment,"")</f>
        <v>71560.087675010276</v>
      </c>
      <c r="E282" s="71">
        <f>IF(AND(Pay_Num&lt;&gt;"",Sched_Pay+Scheduled_Extra_Payments&lt;Beg_Bal),Scheduled_Extra_Payments,IF(AND(Pay_Num&lt;&gt;"",Beg_Bal-Sched_Pay&gt;0),Beg_Bal-Sched_Pay,IF(Pay_Num&lt;&gt;"",0,"")))</f>
        <v>0</v>
      </c>
      <c r="F282" s="70">
        <f>IF(AND(Pay_Num&lt;&gt;"",Sched_Pay+Extra_Pay&lt;Beg_Bal),Sched_Pay+Extra_Pay,IF(Pay_Num&lt;&gt;"",Beg_Bal,""))</f>
        <v>0</v>
      </c>
      <c r="G282" s="70">
        <f>IF(Pay_Num&lt;&gt;"",Total_Pay-Int,"")</f>
        <v>0</v>
      </c>
      <c r="H282" s="70">
        <f>IF(Pay_Num&lt;&gt;"",Beg_Bal*Interest_Rate/Num_Pmt_Per_Year,"")</f>
        <v>0</v>
      </c>
      <c r="I282" s="70">
        <f>IF(AND(Pay_Num&lt;&gt;"",Sched_Pay+Extra_Pay&lt;Beg_Bal),Beg_Bal-Princ,IF(Pay_Num&lt;&gt;"",0,""))</f>
        <v>0</v>
      </c>
      <c r="J282" s="70">
        <f>SUM($H$18:$H282)</f>
        <v>431201.75350020552</v>
      </c>
    </row>
    <row r="283" spans="1:10" x14ac:dyDescent="0.3">
      <c r="A283" s="36">
        <f>IF(Values_Entered,A282+1,"")</f>
        <v>266</v>
      </c>
      <c r="B283" s="35">
        <f>IF(Pay_Num&lt;&gt;"",DATE(YEAR(Loan_Start),MONTH(Loan_Start)+(Pay_Num)*12/Num_Pmt_Per_Year,DAY(Loan_Start)),"")</f>
        <v>70475</v>
      </c>
      <c r="C283" s="70">
        <f>IF(Pay_Num&lt;&gt;"",I282,"")</f>
        <v>0</v>
      </c>
      <c r="D283" s="70">
        <f>IF(Pay_Num&lt;&gt;"",Scheduled_Monthly_Payment,"")</f>
        <v>71560.087675010276</v>
      </c>
      <c r="E283" s="71">
        <f>IF(AND(Pay_Num&lt;&gt;"",Sched_Pay+Scheduled_Extra_Payments&lt;Beg_Bal),Scheduled_Extra_Payments,IF(AND(Pay_Num&lt;&gt;"",Beg_Bal-Sched_Pay&gt;0),Beg_Bal-Sched_Pay,IF(Pay_Num&lt;&gt;"",0,"")))</f>
        <v>0</v>
      </c>
      <c r="F283" s="70">
        <f>IF(AND(Pay_Num&lt;&gt;"",Sched_Pay+Extra_Pay&lt;Beg_Bal),Sched_Pay+Extra_Pay,IF(Pay_Num&lt;&gt;"",Beg_Bal,""))</f>
        <v>0</v>
      </c>
      <c r="G283" s="70">
        <f>IF(Pay_Num&lt;&gt;"",Total_Pay-Int,"")</f>
        <v>0</v>
      </c>
      <c r="H283" s="70">
        <f>IF(Pay_Num&lt;&gt;"",Beg_Bal*Interest_Rate/Num_Pmt_Per_Year,"")</f>
        <v>0</v>
      </c>
      <c r="I283" s="70">
        <f>IF(AND(Pay_Num&lt;&gt;"",Sched_Pay+Extra_Pay&lt;Beg_Bal),Beg_Bal-Princ,IF(Pay_Num&lt;&gt;"",0,""))</f>
        <v>0</v>
      </c>
      <c r="J283" s="70">
        <f>SUM($H$18:$H283)</f>
        <v>431201.75350020552</v>
      </c>
    </row>
    <row r="284" spans="1:10" x14ac:dyDescent="0.3">
      <c r="A284" s="36">
        <f>IF(Values_Entered,A283+1,"")</f>
        <v>267</v>
      </c>
      <c r="B284" s="35">
        <f>IF(Pay_Num&lt;&gt;"",DATE(YEAR(Loan_Start),MONTH(Loan_Start)+(Pay_Num)*12/Num_Pmt_Per_Year,DAY(Loan_Start)),"")</f>
        <v>70565</v>
      </c>
      <c r="C284" s="70">
        <f>IF(Pay_Num&lt;&gt;"",I283,"")</f>
        <v>0</v>
      </c>
      <c r="D284" s="70">
        <f>IF(Pay_Num&lt;&gt;"",Scheduled_Monthly_Payment,"")</f>
        <v>71560.087675010276</v>
      </c>
      <c r="E284" s="71">
        <f>IF(AND(Pay_Num&lt;&gt;"",Sched_Pay+Scheduled_Extra_Payments&lt;Beg_Bal),Scheduled_Extra_Payments,IF(AND(Pay_Num&lt;&gt;"",Beg_Bal-Sched_Pay&gt;0),Beg_Bal-Sched_Pay,IF(Pay_Num&lt;&gt;"",0,"")))</f>
        <v>0</v>
      </c>
      <c r="F284" s="70">
        <f>IF(AND(Pay_Num&lt;&gt;"",Sched_Pay+Extra_Pay&lt;Beg_Bal),Sched_Pay+Extra_Pay,IF(Pay_Num&lt;&gt;"",Beg_Bal,""))</f>
        <v>0</v>
      </c>
      <c r="G284" s="70">
        <f>IF(Pay_Num&lt;&gt;"",Total_Pay-Int,"")</f>
        <v>0</v>
      </c>
      <c r="H284" s="70">
        <f>IF(Pay_Num&lt;&gt;"",Beg_Bal*Interest_Rate/Num_Pmt_Per_Year,"")</f>
        <v>0</v>
      </c>
      <c r="I284" s="70">
        <f>IF(AND(Pay_Num&lt;&gt;"",Sched_Pay+Extra_Pay&lt;Beg_Bal),Beg_Bal-Princ,IF(Pay_Num&lt;&gt;"",0,""))</f>
        <v>0</v>
      </c>
      <c r="J284" s="70">
        <f>SUM($H$18:$H284)</f>
        <v>431201.75350020552</v>
      </c>
    </row>
    <row r="285" spans="1:10" x14ac:dyDescent="0.3">
      <c r="A285" s="36">
        <f>IF(Values_Entered,A284+1,"")</f>
        <v>268</v>
      </c>
      <c r="B285" s="35">
        <f>IF(Pay_Num&lt;&gt;"",DATE(YEAR(Loan_Start),MONTH(Loan_Start)+(Pay_Num)*12/Num_Pmt_Per_Year,DAY(Loan_Start)),"")</f>
        <v>70657</v>
      </c>
      <c r="C285" s="70">
        <f>IF(Pay_Num&lt;&gt;"",I284,"")</f>
        <v>0</v>
      </c>
      <c r="D285" s="70">
        <f>IF(Pay_Num&lt;&gt;"",Scheduled_Monthly_Payment,"")</f>
        <v>71560.087675010276</v>
      </c>
      <c r="E285" s="71">
        <f>IF(AND(Pay_Num&lt;&gt;"",Sched_Pay+Scheduled_Extra_Payments&lt;Beg_Bal),Scheduled_Extra_Payments,IF(AND(Pay_Num&lt;&gt;"",Beg_Bal-Sched_Pay&gt;0),Beg_Bal-Sched_Pay,IF(Pay_Num&lt;&gt;"",0,"")))</f>
        <v>0</v>
      </c>
      <c r="F285" s="70">
        <f>IF(AND(Pay_Num&lt;&gt;"",Sched_Pay+Extra_Pay&lt;Beg_Bal),Sched_Pay+Extra_Pay,IF(Pay_Num&lt;&gt;"",Beg_Bal,""))</f>
        <v>0</v>
      </c>
      <c r="G285" s="70">
        <f>IF(Pay_Num&lt;&gt;"",Total_Pay-Int,"")</f>
        <v>0</v>
      </c>
      <c r="H285" s="70">
        <f>IF(Pay_Num&lt;&gt;"",Beg_Bal*Interest_Rate/Num_Pmt_Per_Year,"")</f>
        <v>0</v>
      </c>
      <c r="I285" s="70">
        <f>IF(AND(Pay_Num&lt;&gt;"",Sched_Pay+Extra_Pay&lt;Beg_Bal),Beg_Bal-Princ,IF(Pay_Num&lt;&gt;"",0,""))</f>
        <v>0</v>
      </c>
      <c r="J285" s="70">
        <f>SUM($H$18:$H285)</f>
        <v>431201.75350020552</v>
      </c>
    </row>
    <row r="286" spans="1:10" x14ac:dyDescent="0.3">
      <c r="A286" s="36">
        <f>IF(Values_Entered,A285+1,"")</f>
        <v>269</v>
      </c>
      <c r="B286" s="35">
        <f>IF(Pay_Num&lt;&gt;"",DATE(YEAR(Loan_Start),MONTH(Loan_Start)+(Pay_Num)*12/Num_Pmt_Per_Year,DAY(Loan_Start)),"")</f>
        <v>70749</v>
      </c>
      <c r="C286" s="70">
        <f>IF(Pay_Num&lt;&gt;"",I285,"")</f>
        <v>0</v>
      </c>
      <c r="D286" s="70">
        <f>IF(Pay_Num&lt;&gt;"",Scheduled_Monthly_Payment,"")</f>
        <v>71560.087675010276</v>
      </c>
      <c r="E286" s="71">
        <f>IF(AND(Pay_Num&lt;&gt;"",Sched_Pay+Scheduled_Extra_Payments&lt;Beg_Bal),Scheduled_Extra_Payments,IF(AND(Pay_Num&lt;&gt;"",Beg_Bal-Sched_Pay&gt;0),Beg_Bal-Sched_Pay,IF(Pay_Num&lt;&gt;"",0,"")))</f>
        <v>0</v>
      </c>
      <c r="F286" s="70">
        <f>IF(AND(Pay_Num&lt;&gt;"",Sched_Pay+Extra_Pay&lt;Beg_Bal),Sched_Pay+Extra_Pay,IF(Pay_Num&lt;&gt;"",Beg_Bal,""))</f>
        <v>0</v>
      </c>
      <c r="G286" s="70">
        <f>IF(Pay_Num&lt;&gt;"",Total_Pay-Int,"")</f>
        <v>0</v>
      </c>
      <c r="H286" s="70">
        <f>IF(Pay_Num&lt;&gt;"",Beg_Bal*Interest_Rate/Num_Pmt_Per_Year,"")</f>
        <v>0</v>
      </c>
      <c r="I286" s="70">
        <f>IF(AND(Pay_Num&lt;&gt;"",Sched_Pay+Extra_Pay&lt;Beg_Bal),Beg_Bal-Princ,IF(Pay_Num&lt;&gt;"",0,""))</f>
        <v>0</v>
      </c>
      <c r="J286" s="70">
        <f>SUM($H$18:$H286)</f>
        <v>431201.75350020552</v>
      </c>
    </row>
    <row r="287" spans="1:10" x14ac:dyDescent="0.3">
      <c r="A287" s="36">
        <f>IF(Values_Entered,A286+1,"")</f>
        <v>270</v>
      </c>
      <c r="B287" s="35">
        <f>IF(Pay_Num&lt;&gt;"",DATE(YEAR(Loan_Start),MONTH(Loan_Start)+(Pay_Num)*12/Num_Pmt_Per_Year,DAY(Loan_Start)),"")</f>
        <v>70840</v>
      </c>
      <c r="C287" s="70">
        <f>IF(Pay_Num&lt;&gt;"",I286,"")</f>
        <v>0</v>
      </c>
      <c r="D287" s="70">
        <f>IF(Pay_Num&lt;&gt;"",Scheduled_Monthly_Payment,"")</f>
        <v>71560.087675010276</v>
      </c>
      <c r="E287" s="71">
        <f>IF(AND(Pay_Num&lt;&gt;"",Sched_Pay+Scheduled_Extra_Payments&lt;Beg_Bal),Scheduled_Extra_Payments,IF(AND(Pay_Num&lt;&gt;"",Beg_Bal-Sched_Pay&gt;0),Beg_Bal-Sched_Pay,IF(Pay_Num&lt;&gt;"",0,"")))</f>
        <v>0</v>
      </c>
      <c r="F287" s="70">
        <f>IF(AND(Pay_Num&lt;&gt;"",Sched_Pay+Extra_Pay&lt;Beg_Bal),Sched_Pay+Extra_Pay,IF(Pay_Num&lt;&gt;"",Beg_Bal,""))</f>
        <v>0</v>
      </c>
      <c r="G287" s="70">
        <f>IF(Pay_Num&lt;&gt;"",Total_Pay-Int,"")</f>
        <v>0</v>
      </c>
      <c r="H287" s="70">
        <f>IF(Pay_Num&lt;&gt;"",Beg_Bal*Interest_Rate/Num_Pmt_Per_Year,"")</f>
        <v>0</v>
      </c>
      <c r="I287" s="70">
        <f>IF(AND(Pay_Num&lt;&gt;"",Sched_Pay+Extra_Pay&lt;Beg_Bal),Beg_Bal-Princ,IF(Pay_Num&lt;&gt;"",0,""))</f>
        <v>0</v>
      </c>
      <c r="J287" s="70">
        <f>SUM($H$18:$H287)</f>
        <v>431201.75350020552</v>
      </c>
    </row>
    <row r="288" spans="1:10" x14ac:dyDescent="0.3">
      <c r="A288" s="36">
        <f>IF(Values_Entered,A287+1,"")</f>
        <v>271</v>
      </c>
      <c r="B288" s="35">
        <f>IF(Pay_Num&lt;&gt;"",DATE(YEAR(Loan_Start),MONTH(Loan_Start)+(Pay_Num)*12/Num_Pmt_Per_Year,DAY(Loan_Start)),"")</f>
        <v>70930</v>
      </c>
      <c r="C288" s="70">
        <f>IF(Pay_Num&lt;&gt;"",I287,"")</f>
        <v>0</v>
      </c>
      <c r="D288" s="70">
        <f>IF(Pay_Num&lt;&gt;"",Scheduled_Monthly_Payment,"")</f>
        <v>71560.087675010276</v>
      </c>
      <c r="E288" s="71">
        <f>IF(AND(Pay_Num&lt;&gt;"",Sched_Pay+Scheduled_Extra_Payments&lt;Beg_Bal),Scheduled_Extra_Payments,IF(AND(Pay_Num&lt;&gt;"",Beg_Bal-Sched_Pay&gt;0),Beg_Bal-Sched_Pay,IF(Pay_Num&lt;&gt;"",0,"")))</f>
        <v>0</v>
      </c>
      <c r="F288" s="70">
        <f>IF(AND(Pay_Num&lt;&gt;"",Sched_Pay+Extra_Pay&lt;Beg_Bal),Sched_Pay+Extra_Pay,IF(Pay_Num&lt;&gt;"",Beg_Bal,""))</f>
        <v>0</v>
      </c>
      <c r="G288" s="70">
        <f>IF(Pay_Num&lt;&gt;"",Total_Pay-Int,"")</f>
        <v>0</v>
      </c>
      <c r="H288" s="70">
        <f>IF(Pay_Num&lt;&gt;"",Beg_Bal*Interest_Rate/Num_Pmt_Per_Year,"")</f>
        <v>0</v>
      </c>
      <c r="I288" s="70">
        <f>IF(AND(Pay_Num&lt;&gt;"",Sched_Pay+Extra_Pay&lt;Beg_Bal),Beg_Bal-Princ,IF(Pay_Num&lt;&gt;"",0,""))</f>
        <v>0</v>
      </c>
      <c r="J288" s="70">
        <f>SUM($H$18:$H288)</f>
        <v>431201.75350020552</v>
      </c>
    </row>
    <row r="289" spans="1:10" x14ac:dyDescent="0.3">
      <c r="A289" s="36">
        <f>IF(Values_Entered,A288+1,"")</f>
        <v>272</v>
      </c>
      <c r="B289" s="35">
        <f>IF(Pay_Num&lt;&gt;"",DATE(YEAR(Loan_Start),MONTH(Loan_Start)+(Pay_Num)*12/Num_Pmt_Per_Year,DAY(Loan_Start)),"")</f>
        <v>71022</v>
      </c>
      <c r="C289" s="70">
        <f>IF(Pay_Num&lt;&gt;"",I288,"")</f>
        <v>0</v>
      </c>
      <c r="D289" s="70">
        <f>IF(Pay_Num&lt;&gt;"",Scheduled_Monthly_Payment,"")</f>
        <v>71560.087675010276</v>
      </c>
      <c r="E289" s="71">
        <f>IF(AND(Pay_Num&lt;&gt;"",Sched_Pay+Scheduled_Extra_Payments&lt;Beg_Bal),Scheduled_Extra_Payments,IF(AND(Pay_Num&lt;&gt;"",Beg_Bal-Sched_Pay&gt;0),Beg_Bal-Sched_Pay,IF(Pay_Num&lt;&gt;"",0,"")))</f>
        <v>0</v>
      </c>
      <c r="F289" s="70">
        <f>IF(AND(Pay_Num&lt;&gt;"",Sched_Pay+Extra_Pay&lt;Beg_Bal),Sched_Pay+Extra_Pay,IF(Pay_Num&lt;&gt;"",Beg_Bal,""))</f>
        <v>0</v>
      </c>
      <c r="G289" s="70">
        <f>IF(Pay_Num&lt;&gt;"",Total_Pay-Int,"")</f>
        <v>0</v>
      </c>
      <c r="H289" s="70">
        <f>IF(Pay_Num&lt;&gt;"",Beg_Bal*Interest_Rate/Num_Pmt_Per_Year,"")</f>
        <v>0</v>
      </c>
      <c r="I289" s="70">
        <f>IF(AND(Pay_Num&lt;&gt;"",Sched_Pay+Extra_Pay&lt;Beg_Bal),Beg_Bal-Princ,IF(Pay_Num&lt;&gt;"",0,""))</f>
        <v>0</v>
      </c>
      <c r="J289" s="70">
        <f>SUM($H$18:$H289)</f>
        <v>431201.75350020552</v>
      </c>
    </row>
    <row r="290" spans="1:10" x14ac:dyDescent="0.3">
      <c r="A290" s="36">
        <f>IF(Values_Entered,A289+1,"")</f>
        <v>273</v>
      </c>
      <c r="B290" s="35">
        <f>IF(Pay_Num&lt;&gt;"",DATE(YEAR(Loan_Start),MONTH(Loan_Start)+(Pay_Num)*12/Num_Pmt_Per_Year,DAY(Loan_Start)),"")</f>
        <v>71114</v>
      </c>
      <c r="C290" s="70">
        <f>IF(Pay_Num&lt;&gt;"",I289,"")</f>
        <v>0</v>
      </c>
      <c r="D290" s="70">
        <f>IF(Pay_Num&lt;&gt;"",Scheduled_Monthly_Payment,"")</f>
        <v>71560.087675010276</v>
      </c>
      <c r="E290" s="71">
        <f>IF(AND(Pay_Num&lt;&gt;"",Sched_Pay+Scheduled_Extra_Payments&lt;Beg_Bal),Scheduled_Extra_Payments,IF(AND(Pay_Num&lt;&gt;"",Beg_Bal-Sched_Pay&gt;0),Beg_Bal-Sched_Pay,IF(Pay_Num&lt;&gt;"",0,"")))</f>
        <v>0</v>
      </c>
      <c r="F290" s="70">
        <f>IF(AND(Pay_Num&lt;&gt;"",Sched_Pay+Extra_Pay&lt;Beg_Bal),Sched_Pay+Extra_Pay,IF(Pay_Num&lt;&gt;"",Beg_Bal,""))</f>
        <v>0</v>
      </c>
      <c r="G290" s="70">
        <f>IF(Pay_Num&lt;&gt;"",Total_Pay-Int,"")</f>
        <v>0</v>
      </c>
      <c r="H290" s="70">
        <f>IF(Pay_Num&lt;&gt;"",Beg_Bal*Interest_Rate/Num_Pmt_Per_Year,"")</f>
        <v>0</v>
      </c>
      <c r="I290" s="70">
        <f>IF(AND(Pay_Num&lt;&gt;"",Sched_Pay+Extra_Pay&lt;Beg_Bal),Beg_Bal-Princ,IF(Pay_Num&lt;&gt;"",0,""))</f>
        <v>0</v>
      </c>
      <c r="J290" s="70">
        <f>SUM($H$18:$H290)</f>
        <v>431201.75350020552</v>
      </c>
    </row>
    <row r="291" spans="1:10" x14ac:dyDescent="0.3">
      <c r="A291" s="36">
        <f>IF(Values_Entered,A290+1,"")</f>
        <v>274</v>
      </c>
      <c r="B291" s="35">
        <f>IF(Pay_Num&lt;&gt;"",DATE(YEAR(Loan_Start),MONTH(Loan_Start)+(Pay_Num)*12/Num_Pmt_Per_Year,DAY(Loan_Start)),"")</f>
        <v>71205</v>
      </c>
      <c r="C291" s="70">
        <f>IF(Pay_Num&lt;&gt;"",I290,"")</f>
        <v>0</v>
      </c>
      <c r="D291" s="70">
        <f>IF(Pay_Num&lt;&gt;"",Scheduled_Monthly_Payment,"")</f>
        <v>71560.087675010276</v>
      </c>
      <c r="E291" s="71">
        <f>IF(AND(Pay_Num&lt;&gt;"",Sched_Pay+Scheduled_Extra_Payments&lt;Beg_Bal),Scheduled_Extra_Payments,IF(AND(Pay_Num&lt;&gt;"",Beg_Bal-Sched_Pay&gt;0),Beg_Bal-Sched_Pay,IF(Pay_Num&lt;&gt;"",0,"")))</f>
        <v>0</v>
      </c>
      <c r="F291" s="70">
        <f>IF(AND(Pay_Num&lt;&gt;"",Sched_Pay+Extra_Pay&lt;Beg_Bal),Sched_Pay+Extra_Pay,IF(Pay_Num&lt;&gt;"",Beg_Bal,""))</f>
        <v>0</v>
      </c>
      <c r="G291" s="70">
        <f>IF(Pay_Num&lt;&gt;"",Total_Pay-Int,"")</f>
        <v>0</v>
      </c>
      <c r="H291" s="70">
        <f>IF(Pay_Num&lt;&gt;"",Beg_Bal*Interest_Rate/Num_Pmt_Per_Year,"")</f>
        <v>0</v>
      </c>
      <c r="I291" s="70">
        <f>IF(AND(Pay_Num&lt;&gt;"",Sched_Pay+Extra_Pay&lt;Beg_Bal),Beg_Bal-Princ,IF(Pay_Num&lt;&gt;"",0,""))</f>
        <v>0</v>
      </c>
      <c r="J291" s="70">
        <f>SUM($H$18:$H291)</f>
        <v>431201.75350020552</v>
      </c>
    </row>
    <row r="292" spans="1:10" x14ac:dyDescent="0.3">
      <c r="A292" s="36">
        <f>IF(Values_Entered,A291+1,"")</f>
        <v>275</v>
      </c>
      <c r="B292" s="35">
        <f>IF(Pay_Num&lt;&gt;"",DATE(YEAR(Loan_Start),MONTH(Loan_Start)+(Pay_Num)*12/Num_Pmt_Per_Year,DAY(Loan_Start)),"")</f>
        <v>71295</v>
      </c>
      <c r="C292" s="70">
        <f>IF(Pay_Num&lt;&gt;"",I291,"")</f>
        <v>0</v>
      </c>
      <c r="D292" s="70">
        <f>IF(Pay_Num&lt;&gt;"",Scheduled_Monthly_Payment,"")</f>
        <v>71560.087675010276</v>
      </c>
      <c r="E292" s="71">
        <f>IF(AND(Pay_Num&lt;&gt;"",Sched_Pay+Scheduled_Extra_Payments&lt;Beg_Bal),Scheduled_Extra_Payments,IF(AND(Pay_Num&lt;&gt;"",Beg_Bal-Sched_Pay&gt;0),Beg_Bal-Sched_Pay,IF(Pay_Num&lt;&gt;"",0,"")))</f>
        <v>0</v>
      </c>
      <c r="F292" s="70">
        <f>IF(AND(Pay_Num&lt;&gt;"",Sched_Pay+Extra_Pay&lt;Beg_Bal),Sched_Pay+Extra_Pay,IF(Pay_Num&lt;&gt;"",Beg_Bal,""))</f>
        <v>0</v>
      </c>
      <c r="G292" s="70">
        <f>IF(Pay_Num&lt;&gt;"",Total_Pay-Int,"")</f>
        <v>0</v>
      </c>
      <c r="H292" s="70">
        <f>IF(Pay_Num&lt;&gt;"",Beg_Bal*Interest_Rate/Num_Pmt_Per_Year,"")</f>
        <v>0</v>
      </c>
      <c r="I292" s="70">
        <f>IF(AND(Pay_Num&lt;&gt;"",Sched_Pay+Extra_Pay&lt;Beg_Bal),Beg_Bal-Princ,IF(Pay_Num&lt;&gt;"",0,""))</f>
        <v>0</v>
      </c>
      <c r="J292" s="70">
        <f>SUM($H$18:$H292)</f>
        <v>431201.75350020552</v>
      </c>
    </row>
    <row r="293" spans="1:10" x14ac:dyDescent="0.3">
      <c r="A293" s="36">
        <f>IF(Values_Entered,A292+1,"")</f>
        <v>276</v>
      </c>
      <c r="B293" s="35">
        <f>IF(Pay_Num&lt;&gt;"",DATE(YEAR(Loan_Start),MONTH(Loan_Start)+(Pay_Num)*12/Num_Pmt_Per_Year,DAY(Loan_Start)),"")</f>
        <v>71387</v>
      </c>
      <c r="C293" s="70">
        <f>IF(Pay_Num&lt;&gt;"",I292,"")</f>
        <v>0</v>
      </c>
      <c r="D293" s="70">
        <f>IF(Pay_Num&lt;&gt;"",Scheduled_Monthly_Payment,"")</f>
        <v>71560.087675010276</v>
      </c>
      <c r="E293" s="71">
        <f>IF(AND(Pay_Num&lt;&gt;"",Sched_Pay+Scheduled_Extra_Payments&lt;Beg_Bal),Scheduled_Extra_Payments,IF(AND(Pay_Num&lt;&gt;"",Beg_Bal-Sched_Pay&gt;0),Beg_Bal-Sched_Pay,IF(Pay_Num&lt;&gt;"",0,"")))</f>
        <v>0</v>
      </c>
      <c r="F293" s="70">
        <f>IF(AND(Pay_Num&lt;&gt;"",Sched_Pay+Extra_Pay&lt;Beg_Bal),Sched_Pay+Extra_Pay,IF(Pay_Num&lt;&gt;"",Beg_Bal,""))</f>
        <v>0</v>
      </c>
      <c r="G293" s="70">
        <f>IF(Pay_Num&lt;&gt;"",Total_Pay-Int,"")</f>
        <v>0</v>
      </c>
      <c r="H293" s="70">
        <f>IF(Pay_Num&lt;&gt;"",Beg_Bal*Interest_Rate/Num_Pmt_Per_Year,"")</f>
        <v>0</v>
      </c>
      <c r="I293" s="70">
        <f>IF(AND(Pay_Num&lt;&gt;"",Sched_Pay+Extra_Pay&lt;Beg_Bal),Beg_Bal-Princ,IF(Pay_Num&lt;&gt;"",0,""))</f>
        <v>0</v>
      </c>
      <c r="J293" s="70">
        <f>SUM($H$18:$H293)</f>
        <v>431201.75350020552</v>
      </c>
    </row>
    <row r="294" spans="1:10" x14ac:dyDescent="0.3">
      <c r="A294" s="36">
        <f>IF(Values_Entered,A293+1,"")</f>
        <v>277</v>
      </c>
      <c r="B294" s="35">
        <f>IF(Pay_Num&lt;&gt;"",DATE(YEAR(Loan_Start),MONTH(Loan_Start)+(Pay_Num)*12/Num_Pmt_Per_Year,DAY(Loan_Start)),"")</f>
        <v>71479</v>
      </c>
      <c r="C294" s="70">
        <f>IF(Pay_Num&lt;&gt;"",I293,"")</f>
        <v>0</v>
      </c>
      <c r="D294" s="70">
        <f>IF(Pay_Num&lt;&gt;"",Scheduled_Monthly_Payment,"")</f>
        <v>71560.087675010276</v>
      </c>
      <c r="E294" s="71">
        <f>IF(AND(Pay_Num&lt;&gt;"",Sched_Pay+Scheduled_Extra_Payments&lt;Beg_Bal),Scheduled_Extra_Payments,IF(AND(Pay_Num&lt;&gt;"",Beg_Bal-Sched_Pay&gt;0),Beg_Bal-Sched_Pay,IF(Pay_Num&lt;&gt;"",0,"")))</f>
        <v>0</v>
      </c>
      <c r="F294" s="70">
        <f>IF(AND(Pay_Num&lt;&gt;"",Sched_Pay+Extra_Pay&lt;Beg_Bal),Sched_Pay+Extra_Pay,IF(Pay_Num&lt;&gt;"",Beg_Bal,""))</f>
        <v>0</v>
      </c>
      <c r="G294" s="70">
        <f>IF(Pay_Num&lt;&gt;"",Total_Pay-Int,"")</f>
        <v>0</v>
      </c>
      <c r="H294" s="70">
        <f>IF(Pay_Num&lt;&gt;"",Beg_Bal*Interest_Rate/Num_Pmt_Per_Year,"")</f>
        <v>0</v>
      </c>
      <c r="I294" s="70">
        <f>IF(AND(Pay_Num&lt;&gt;"",Sched_Pay+Extra_Pay&lt;Beg_Bal),Beg_Bal-Princ,IF(Pay_Num&lt;&gt;"",0,""))</f>
        <v>0</v>
      </c>
      <c r="J294" s="70">
        <f>SUM($H$18:$H294)</f>
        <v>431201.75350020552</v>
      </c>
    </row>
    <row r="295" spans="1:10" x14ac:dyDescent="0.3">
      <c r="A295" s="36">
        <f>IF(Values_Entered,A294+1,"")</f>
        <v>278</v>
      </c>
      <c r="B295" s="35">
        <f>IF(Pay_Num&lt;&gt;"",DATE(YEAR(Loan_Start),MONTH(Loan_Start)+(Pay_Num)*12/Num_Pmt_Per_Year,DAY(Loan_Start)),"")</f>
        <v>71570</v>
      </c>
      <c r="C295" s="70">
        <f>IF(Pay_Num&lt;&gt;"",I294,"")</f>
        <v>0</v>
      </c>
      <c r="D295" s="70">
        <f>IF(Pay_Num&lt;&gt;"",Scheduled_Monthly_Payment,"")</f>
        <v>71560.087675010276</v>
      </c>
      <c r="E295" s="71">
        <f>IF(AND(Pay_Num&lt;&gt;"",Sched_Pay+Scheduled_Extra_Payments&lt;Beg_Bal),Scheduled_Extra_Payments,IF(AND(Pay_Num&lt;&gt;"",Beg_Bal-Sched_Pay&gt;0),Beg_Bal-Sched_Pay,IF(Pay_Num&lt;&gt;"",0,"")))</f>
        <v>0</v>
      </c>
      <c r="F295" s="70">
        <f>IF(AND(Pay_Num&lt;&gt;"",Sched_Pay+Extra_Pay&lt;Beg_Bal),Sched_Pay+Extra_Pay,IF(Pay_Num&lt;&gt;"",Beg_Bal,""))</f>
        <v>0</v>
      </c>
      <c r="G295" s="70">
        <f>IF(Pay_Num&lt;&gt;"",Total_Pay-Int,"")</f>
        <v>0</v>
      </c>
      <c r="H295" s="70">
        <f>IF(Pay_Num&lt;&gt;"",Beg_Bal*Interest_Rate/Num_Pmt_Per_Year,"")</f>
        <v>0</v>
      </c>
      <c r="I295" s="70">
        <f>IF(AND(Pay_Num&lt;&gt;"",Sched_Pay+Extra_Pay&lt;Beg_Bal),Beg_Bal-Princ,IF(Pay_Num&lt;&gt;"",0,""))</f>
        <v>0</v>
      </c>
      <c r="J295" s="70">
        <f>SUM($H$18:$H295)</f>
        <v>431201.75350020552</v>
      </c>
    </row>
    <row r="296" spans="1:10" x14ac:dyDescent="0.3">
      <c r="A296" s="36">
        <f>IF(Values_Entered,A295+1,"")</f>
        <v>279</v>
      </c>
      <c r="B296" s="35">
        <f>IF(Pay_Num&lt;&gt;"",DATE(YEAR(Loan_Start),MONTH(Loan_Start)+(Pay_Num)*12/Num_Pmt_Per_Year,DAY(Loan_Start)),"")</f>
        <v>71661</v>
      </c>
      <c r="C296" s="70">
        <f>IF(Pay_Num&lt;&gt;"",I295,"")</f>
        <v>0</v>
      </c>
      <c r="D296" s="70">
        <f>IF(Pay_Num&lt;&gt;"",Scheduled_Monthly_Payment,"")</f>
        <v>71560.087675010276</v>
      </c>
      <c r="E296" s="71">
        <f>IF(AND(Pay_Num&lt;&gt;"",Sched_Pay+Scheduled_Extra_Payments&lt;Beg_Bal),Scheduled_Extra_Payments,IF(AND(Pay_Num&lt;&gt;"",Beg_Bal-Sched_Pay&gt;0),Beg_Bal-Sched_Pay,IF(Pay_Num&lt;&gt;"",0,"")))</f>
        <v>0</v>
      </c>
      <c r="F296" s="70">
        <f>IF(AND(Pay_Num&lt;&gt;"",Sched_Pay+Extra_Pay&lt;Beg_Bal),Sched_Pay+Extra_Pay,IF(Pay_Num&lt;&gt;"",Beg_Bal,""))</f>
        <v>0</v>
      </c>
      <c r="G296" s="70">
        <f>IF(Pay_Num&lt;&gt;"",Total_Pay-Int,"")</f>
        <v>0</v>
      </c>
      <c r="H296" s="70">
        <f>IF(Pay_Num&lt;&gt;"",Beg_Bal*Interest_Rate/Num_Pmt_Per_Year,"")</f>
        <v>0</v>
      </c>
      <c r="I296" s="70">
        <f>IF(AND(Pay_Num&lt;&gt;"",Sched_Pay+Extra_Pay&lt;Beg_Bal),Beg_Bal-Princ,IF(Pay_Num&lt;&gt;"",0,""))</f>
        <v>0</v>
      </c>
      <c r="J296" s="70">
        <f>SUM($H$18:$H296)</f>
        <v>431201.75350020552</v>
      </c>
    </row>
    <row r="297" spans="1:10" x14ac:dyDescent="0.3">
      <c r="A297" s="36">
        <f>IF(Values_Entered,A296+1,"")</f>
        <v>280</v>
      </c>
      <c r="B297" s="35">
        <f>IF(Pay_Num&lt;&gt;"",DATE(YEAR(Loan_Start),MONTH(Loan_Start)+(Pay_Num)*12/Num_Pmt_Per_Year,DAY(Loan_Start)),"")</f>
        <v>71753</v>
      </c>
      <c r="C297" s="70">
        <f>IF(Pay_Num&lt;&gt;"",I296,"")</f>
        <v>0</v>
      </c>
      <c r="D297" s="70">
        <f>IF(Pay_Num&lt;&gt;"",Scheduled_Monthly_Payment,"")</f>
        <v>71560.087675010276</v>
      </c>
      <c r="E297" s="71">
        <f>IF(AND(Pay_Num&lt;&gt;"",Sched_Pay+Scheduled_Extra_Payments&lt;Beg_Bal),Scheduled_Extra_Payments,IF(AND(Pay_Num&lt;&gt;"",Beg_Bal-Sched_Pay&gt;0),Beg_Bal-Sched_Pay,IF(Pay_Num&lt;&gt;"",0,"")))</f>
        <v>0</v>
      </c>
      <c r="F297" s="70">
        <f>IF(AND(Pay_Num&lt;&gt;"",Sched_Pay+Extra_Pay&lt;Beg_Bal),Sched_Pay+Extra_Pay,IF(Pay_Num&lt;&gt;"",Beg_Bal,""))</f>
        <v>0</v>
      </c>
      <c r="G297" s="70">
        <f>IF(Pay_Num&lt;&gt;"",Total_Pay-Int,"")</f>
        <v>0</v>
      </c>
      <c r="H297" s="70">
        <f>IF(Pay_Num&lt;&gt;"",Beg_Bal*Interest_Rate/Num_Pmt_Per_Year,"")</f>
        <v>0</v>
      </c>
      <c r="I297" s="70">
        <f>IF(AND(Pay_Num&lt;&gt;"",Sched_Pay+Extra_Pay&lt;Beg_Bal),Beg_Bal-Princ,IF(Pay_Num&lt;&gt;"",0,""))</f>
        <v>0</v>
      </c>
      <c r="J297" s="70">
        <f>SUM($H$18:$H297)</f>
        <v>431201.75350020552</v>
      </c>
    </row>
    <row r="298" spans="1:10" x14ac:dyDescent="0.3">
      <c r="A298" s="36">
        <f>IF(Values_Entered,A297+1,"")</f>
        <v>281</v>
      </c>
      <c r="B298" s="35">
        <f>IF(Pay_Num&lt;&gt;"",DATE(YEAR(Loan_Start),MONTH(Loan_Start)+(Pay_Num)*12/Num_Pmt_Per_Year,DAY(Loan_Start)),"")</f>
        <v>71845</v>
      </c>
      <c r="C298" s="70">
        <f>IF(Pay_Num&lt;&gt;"",I297,"")</f>
        <v>0</v>
      </c>
      <c r="D298" s="70">
        <f>IF(Pay_Num&lt;&gt;"",Scheduled_Monthly_Payment,"")</f>
        <v>71560.087675010276</v>
      </c>
      <c r="E298" s="71">
        <f>IF(AND(Pay_Num&lt;&gt;"",Sched_Pay+Scheduled_Extra_Payments&lt;Beg_Bal),Scheduled_Extra_Payments,IF(AND(Pay_Num&lt;&gt;"",Beg_Bal-Sched_Pay&gt;0),Beg_Bal-Sched_Pay,IF(Pay_Num&lt;&gt;"",0,"")))</f>
        <v>0</v>
      </c>
      <c r="F298" s="70">
        <f>IF(AND(Pay_Num&lt;&gt;"",Sched_Pay+Extra_Pay&lt;Beg_Bal),Sched_Pay+Extra_Pay,IF(Pay_Num&lt;&gt;"",Beg_Bal,""))</f>
        <v>0</v>
      </c>
      <c r="G298" s="70">
        <f>IF(Pay_Num&lt;&gt;"",Total_Pay-Int,"")</f>
        <v>0</v>
      </c>
      <c r="H298" s="70">
        <f>IF(Pay_Num&lt;&gt;"",Beg_Bal*Interest_Rate/Num_Pmt_Per_Year,"")</f>
        <v>0</v>
      </c>
      <c r="I298" s="70">
        <f>IF(AND(Pay_Num&lt;&gt;"",Sched_Pay+Extra_Pay&lt;Beg_Bal),Beg_Bal-Princ,IF(Pay_Num&lt;&gt;"",0,""))</f>
        <v>0</v>
      </c>
      <c r="J298" s="70">
        <f>SUM($H$18:$H298)</f>
        <v>431201.75350020552</v>
      </c>
    </row>
    <row r="299" spans="1:10" x14ac:dyDescent="0.3">
      <c r="A299" s="36">
        <f>IF(Values_Entered,A298+1,"")</f>
        <v>282</v>
      </c>
      <c r="B299" s="35">
        <f>IF(Pay_Num&lt;&gt;"",DATE(YEAR(Loan_Start),MONTH(Loan_Start)+(Pay_Num)*12/Num_Pmt_Per_Year,DAY(Loan_Start)),"")</f>
        <v>71936</v>
      </c>
      <c r="C299" s="70">
        <f>IF(Pay_Num&lt;&gt;"",I298,"")</f>
        <v>0</v>
      </c>
      <c r="D299" s="70">
        <f>IF(Pay_Num&lt;&gt;"",Scheduled_Monthly_Payment,"")</f>
        <v>71560.087675010276</v>
      </c>
      <c r="E299" s="71">
        <f>IF(AND(Pay_Num&lt;&gt;"",Sched_Pay+Scheduled_Extra_Payments&lt;Beg_Bal),Scheduled_Extra_Payments,IF(AND(Pay_Num&lt;&gt;"",Beg_Bal-Sched_Pay&gt;0),Beg_Bal-Sched_Pay,IF(Pay_Num&lt;&gt;"",0,"")))</f>
        <v>0</v>
      </c>
      <c r="F299" s="70">
        <f>IF(AND(Pay_Num&lt;&gt;"",Sched_Pay+Extra_Pay&lt;Beg_Bal),Sched_Pay+Extra_Pay,IF(Pay_Num&lt;&gt;"",Beg_Bal,""))</f>
        <v>0</v>
      </c>
      <c r="G299" s="70">
        <f>IF(Pay_Num&lt;&gt;"",Total_Pay-Int,"")</f>
        <v>0</v>
      </c>
      <c r="H299" s="70">
        <f>IF(Pay_Num&lt;&gt;"",Beg_Bal*Interest_Rate/Num_Pmt_Per_Year,"")</f>
        <v>0</v>
      </c>
      <c r="I299" s="70">
        <f>IF(AND(Pay_Num&lt;&gt;"",Sched_Pay+Extra_Pay&lt;Beg_Bal),Beg_Bal-Princ,IF(Pay_Num&lt;&gt;"",0,""))</f>
        <v>0</v>
      </c>
      <c r="J299" s="70">
        <f>SUM($H$18:$H299)</f>
        <v>431201.75350020552</v>
      </c>
    </row>
    <row r="300" spans="1:10" x14ac:dyDescent="0.3">
      <c r="A300" s="36">
        <f>IF(Values_Entered,A299+1,"")</f>
        <v>283</v>
      </c>
      <c r="B300" s="35">
        <f>IF(Pay_Num&lt;&gt;"",DATE(YEAR(Loan_Start),MONTH(Loan_Start)+(Pay_Num)*12/Num_Pmt_Per_Year,DAY(Loan_Start)),"")</f>
        <v>72026</v>
      </c>
      <c r="C300" s="70">
        <f>IF(Pay_Num&lt;&gt;"",I299,"")</f>
        <v>0</v>
      </c>
      <c r="D300" s="70">
        <f>IF(Pay_Num&lt;&gt;"",Scheduled_Monthly_Payment,"")</f>
        <v>71560.087675010276</v>
      </c>
      <c r="E300" s="71">
        <f>IF(AND(Pay_Num&lt;&gt;"",Sched_Pay+Scheduled_Extra_Payments&lt;Beg_Bal),Scheduled_Extra_Payments,IF(AND(Pay_Num&lt;&gt;"",Beg_Bal-Sched_Pay&gt;0),Beg_Bal-Sched_Pay,IF(Pay_Num&lt;&gt;"",0,"")))</f>
        <v>0</v>
      </c>
      <c r="F300" s="70">
        <f>IF(AND(Pay_Num&lt;&gt;"",Sched_Pay+Extra_Pay&lt;Beg_Bal),Sched_Pay+Extra_Pay,IF(Pay_Num&lt;&gt;"",Beg_Bal,""))</f>
        <v>0</v>
      </c>
      <c r="G300" s="70">
        <f>IF(Pay_Num&lt;&gt;"",Total_Pay-Int,"")</f>
        <v>0</v>
      </c>
      <c r="H300" s="70">
        <f>IF(Pay_Num&lt;&gt;"",Beg_Bal*Interest_Rate/Num_Pmt_Per_Year,"")</f>
        <v>0</v>
      </c>
      <c r="I300" s="70">
        <f>IF(AND(Pay_Num&lt;&gt;"",Sched_Pay+Extra_Pay&lt;Beg_Bal),Beg_Bal-Princ,IF(Pay_Num&lt;&gt;"",0,""))</f>
        <v>0</v>
      </c>
      <c r="J300" s="70">
        <f>SUM($H$18:$H300)</f>
        <v>431201.75350020552</v>
      </c>
    </row>
    <row r="301" spans="1:10" x14ac:dyDescent="0.3">
      <c r="A301" s="36">
        <f>IF(Values_Entered,A300+1,"")</f>
        <v>284</v>
      </c>
      <c r="B301" s="35">
        <f>IF(Pay_Num&lt;&gt;"",DATE(YEAR(Loan_Start),MONTH(Loan_Start)+(Pay_Num)*12/Num_Pmt_Per_Year,DAY(Loan_Start)),"")</f>
        <v>72118</v>
      </c>
      <c r="C301" s="70">
        <f>IF(Pay_Num&lt;&gt;"",I300,"")</f>
        <v>0</v>
      </c>
      <c r="D301" s="70">
        <f>IF(Pay_Num&lt;&gt;"",Scheduled_Monthly_Payment,"")</f>
        <v>71560.087675010276</v>
      </c>
      <c r="E301" s="71">
        <f>IF(AND(Pay_Num&lt;&gt;"",Sched_Pay+Scheduled_Extra_Payments&lt;Beg_Bal),Scheduled_Extra_Payments,IF(AND(Pay_Num&lt;&gt;"",Beg_Bal-Sched_Pay&gt;0),Beg_Bal-Sched_Pay,IF(Pay_Num&lt;&gt;"",0,"")))</f>
        <v>0</v>
      </c>
      <c r="F301" s="70">
        <f>IF(AND(Pay_Num&lt;&gt;"",Sched_Pay+Extra_Pay&lt;Beg_Bal),Sched_Pay+Extra_Pay,IF(Pay_Num&lt;&gt;"",Beg_Bal,""))</f>
        <v>0</v>
      </c>
      <c r="G301" s="70">
        <f>IF(Pay_Num&lt;&gt;"",Total_Pay-Int,"")</f>
        <v>0</v>
      </c>
      <c r="H301" s="70">
        <f>IF(Pay_Num&lt;&gt;"",Beg_Bal*Interest_Rate/Num_Pmt_Per_Year,"")</f>
        <v>0</v>
      </c>
      <c r="I301" s="70">
        <f>IF(AND(Pay_Num&lt;&gt;"",Sched_Pay+Extra_Pay&lt;Beg_Bal),Beg_Bal-Princ,IF(Pay_Num&lt;&gt;"",0,""))</f>
        <v>0</v>
      </c>
      <c r="J301" s="70">
        <f>SUM($H$18:$H301)</f>
        <v>431201.75350020552</v>
      </c>
    </row>
    <row r="302" spans="1:10" x14ac:dyDescent="0.3">
      <c r="A302" s="36">
        <f>IF(Values_Entered,A301+1,"")</f>
        <v>285</v>
      </c>
      <c r="B302" s="35">
        <f>IF(Pay_Num&lt;&gt;"",DATE(YEAR(Loan_Start),MONTH(Loan_Start)+(Pay_Num)*12/Num_Pmt_Per_Year,DAY(Loan_Start)),"")</f>
        <v>72210</v>
      </c>
      <c r="C302" s="70">
        <f>IF(Pay_Num&lt;&gt;"",I301,"")</f>
        <v>0</v>
      </c>
      <c r="D302" s="70">
        <f>IF(Pay_Num&lt;&gt;"",Scheduled_Monthly_Payment,"")</f>
        <v>71560.087675010276</v>
      </c>
      <c r="E302" s="71">
        <f>IF(AND(Pay_Num&lt;&gt;"",Sched_Pay+Scheduled_Extra_Payments&lt;Beg_Bal),Scheduled_Extra_Payments,IF(AND(Pay_Num&lt;&gt;"",Beg_Bal-Sched_Pay&gt;0),Beg_Bal-Sched_Pay,IF(Pay_Num&lt;&gt;"",0,"")))</f>
        <v>0</v>
      </c>
      <c r="F302" s="70">
        <f>IF(AND(Pay_Num&lt;&gt;"",Sched_Pay+Extra_Pay&lt;Beg_Bal),Sched_Pay+Extra_Pay,IF(Pay_Num&lt;&gt;"",Beg_Bal,""))</f>
        <v>0</v>
      </c>
      <c r="G302" s="70">
        <f>IF(Pay_Num&lt;&gt;"",Total_Pay-Int,"")</f>
        <v>0</v>
      </c>
      <c r="H302" s="70">
        <f>IF(Pay_Num&lt;&gt;"",Beg_Bal*Interest_Rate/Num_Pmt_Per_Year,"")</f>
        <v>0</v>
      </c>
      <c r="I302" s="70">
        <f>IF(AND(Pay_Num&lt;&gt;"",Sched_Pay+Extra_Pay&lt;Beg_Bal),Beg_Bal-Princ,IF(Pay_Num&lt;&gt;"",0,""))</f>
        <v>0</v>
      </c>
      <c r="J302" s="70">
        <f>SUM($H$18:$H302)</f>
        <v>431201.75350020552</v>
      </c>
    </row>
    <row r="303" spans="1:10" x14ac:dyDescent="0.3">
      <c r="A303" s="36">
        <f>IF(Values_Entered,A302+1,"")</f>
        <v>286</v>
      </c>
      <c r="B303" s="35">
        <f>IF(Pay_Num&lt;&gt;"",DATE(YEAR(Loan_Start),MONTH(Loan_Start)+(Pay_Num)*12/Num_Pmt_Per_Year,DAY(Loan_Start)),"")</f>
        <v>72301</v>
      </c>
      <c r="C303" s="70">
        <f>IF(Pay_Num&lt;&gt;"",I302,"")</f>
        <v>0</v>
      </c>
      <c r="D303" s="70">
        <f>IF(Pay_Num&lt;&gt;"",Scheduled_Monthly_Payment,"")</f>
        <v>71560.087675010276</v>
      </c>
      <c r="E303" s="71">
        <f>IF(AND(Pay_Num&lt;&gt;"",Sched_Pay+Scheduled_Extra_Payments&lt;Beg_Bal),Scheduled_Extra_Payments,IF(AND(Pay_Num&lt;&gt;"",Beg_Bal-Sched_Pay&gt;0),Beg_Bal-Sched_Pay,IF(Pay_Num&lt;&gt;"",0,"")))</f>
        <v>0</v>
      </c>
      <c r="F303" s="70">
        <f>IF(AND(Pay_Num&lt;&gt;"",Sched_Pay+Extra_Pay&lt;Beg_Bal),Sched_Pay+Extra_Pay,IF(Pay_Num&lt;&gt;"",Beg_Bal,""))</f>
        <v>0</v>
      </c>
      <c r="G303" s="70">
        <f>IF(Pay_Num&lt;&gt;"",Total_Pay-Int,"")</f>
        <v>0</v>
      </c>
      <c r="H303" s="70">
        <f>IF(Pay_Num&lt;&gt;"",Beg_Bal*Interest_Rate/Num_Pmt_Per_Year,"")</f>
        <v>0</v>
      </c>
      <c r="I303" s="70">
        <f>IF(AND(Pay_Num&lt;&gt;"",Sched_Pay+Extra_Pay&lt;Beg_Bal),Beg_Bal-Princ,IF(Pay_Num&lt;&gt;"",0,""))</f>
        <v>0</v>
      </c>
      <c r="J303" s="70">
        <f>SUM($H$18:$H303)</f>
        <v>431201.75350020552</v>
      </c>
    </row>
    <row r="304" spans="1:10" x14ac:dyDescent="0.3">
      <c r="A304" s="36">
        <f>IF(Values_Entered,A303+1,"")</f>
        <v>287</v>
      </c>
      <c r="B304" s="35">
        <f>IF(Pay_Num&lt;&gt;"",DATE(YEAR(Loan_Start),MONTH(Loan_Start)+(Pay_Num)*12/Num_Pmt_Per_Year,DAY(Loan_Start)),"")</f>
        <v>72391</v>
      </c>
      <c r="C304" s="70">
        <f>IF(Pay_Num&lt;&gt;"",I303,"")</f>
        <v>0</v>
      </c>
      <c r="D304" s="70">
        <f>IF(Pay_Num&lt;&gt;"",Scheduled_Monthly_Payment,"")</f>
        <v>71560.087675010276</v>
      </c>
      <c r="E304" s="71">
        <f>IF(AND(Pay_Num&lt;&gt;"",Sched_Pay+Scheduled_Extra_Payments&lt;Beg_Bal),Scheduled_Extra_Payments,IF(AND(Pay_Num&lt;&gt;"",Beg_Bal-Sched_Pay&gt;0),Beg_Bal-Sched_Pay,IF(Pay_Num&lt;&gt;"",0,"")))</f>
        <v>0</v>
      </c>
      <c r="F304" s="70">
        <f>IF(AND(Pay_Num&lt;&gt;"",Sched_Pay+Extra_Pay&lt;Beg_Bal),Sched_Pay+Extra_Pay,IF(Pay_Num&lt;&gt;"",Beg_Bal,""))</f>
        <v>0</v>
      </c>
      <c r="G304" s="70">
        <f>IF(Pay_Num&lt;&gt;"",Total_Pay-Int,"")</f>
        <v>0</v>
      </c>
      <c r="H304" s="70">
        <f>IF(Pay_Num&lt;&gt;"",Beg_Bal*Interest_Rate/Num_Pmt_Per_Year,"")</f>
        <v>0</v>
      </c>
      <c r="I304" s="70">
        <f>IF(AND(Pay_Num&lt;&gt;"",Sched_Pay+Extra_Pay&lt;Beg_Bal),Beg_Bal-Princ,IF(Pay_Num&lt;&gt;"",0,""))</f>
        <v>0</v>
      </c>
      <c r="J304" s="70">
        <f>SUM($H$18:$H304)</f>
        <v>431201.75350020552</v>
      </c>
    </row>
    <row r="305" spans="1:10" x14ac:dyDescent="0.3">
      <c r="A305" s="36">
        <f>IF(Values_Entered,A304+1,"")</f>
        <v>288</v>
      </c>
      <c r="B305" s="35">
        <f>IF(Pay_Num&lt;&gt;"",DATE(YEAR(Loan_Start),MONTH(Loan_Start)+(Pay_Num)*12/Num_Pmt_Per_Year,DAY(Loan_Start)),"")</f>
        <v>72483</v>
      </c>
      <c r="C305" s="70">
        <f>IF(Pay_Num&lt;&gt;"",I304,"")</f>
        <v>0</v>
      </c>
      <c r="D305" s="70">
        <f>IF(Pay_Num&lt;&gt;"",Scheduled_Monthly_Payment,"")</f>
        <v>71560.087675010276</v>
      </c>
      <c r="E305" s="71">
        <f>IF(AND(Pay_Num&lt;&gt;"",Sched_Pay+Scheduled_Extra_Payments&lt;Beg_Bal),Scheduled_Extra_Payments,IF(AND(Pay_Num&lt;&gt;"",Beg_Bal-Sched_Pay&gt;0),Beg_Bal-Sched_Pay,IF(Pay_Num&lt;&gt;"",0,"")))</f>
        <v>0</v>
      </c>
      <c r="F305" s="70">
        <f>IF(AND(Pay_Num&lt;&gt;"",Sched_Pay+Extra_Pay&lt;Beg_Bal),Sched_Pay+Extra_Pay,IF(Pay_Num&lt;&gt;"",Beg_Bal,""))</f>
        <v>0</v>
      </c>
      <c r="G305" s="70">
        <f>IF(Pay_Num&lt;&gt;"",Total_Pay-Int,"")</f>
        <v>0</v>
      </c>
      <c r="H305" s="70">
        <f>IF(Pay_Num&lt;&gt;"",Beg_Bal*Interest_Rate/Num_Pmt_Per_Year,"")</f>
        <v>0</v>
      </c>
      <c r="I305" s="70">
        <f>IF(AND(Pay_Num&lt;&gt;"",Sched_Pay+Extra_Pay&lt;Beg_Bal),Beg_Bal-Princ,IF(Pay_Num&lt;&gt;"",0,""))</f>
        <v>0</v>
      </c>
      <c r="J305" s="70">
        <f>SUM($H$18:$H305)</f>
        <v>431201.75350020552</v>
      </c>
    </row>
    <row r="306" spans="1:10" x14ac:dyDescent="0.3">
      <c r="A306" s="36">
        <f>IF(Values_Entered,A305+1,"")</f>
        <v>289</v>
      </c>
      <c r="B306" s="35">
        <f>IF(Pay_Num&lt;&gt;"",DATE(YEAR(Loan_Start),MONTH(Loan_Start)+(Pay_Num)*12/Num_Pmt_Per_Year,DAY(Loan_Start)),"")</f>
        <v>72575</v>
      </c>
      <c r="C306" s="70">
        <f>IF(Pay_Num&lt;&gt;"",I305,"")</f>
        <v>0</v>
      </c>
      <c r="D306" s="70">
        <f>IF(Pay_Num&lt;&gt;"",Scheduled_Monthly_Payment,"")</f>
        <v>71560.087675010276</v>
      </c>
      <c r="E306" s="71">
        <f>IF(AND(Pay_Num&lt;&gt;"",Sched_Pay+Scheduled_Extra_Payments&lt;Beg_Bal),Scheduled_Extra_Payments,IF(AND(Pay_Num&lt;&gt;"",Beg_Bal-Sched_Pay&gt;0),Beg_Bal-Sched_Pay,IF(Pay_Num&lt;&gt;"",0,"")))</f>
        <v>0</v>
      </c>
      <c r="F306" s="70">
        <f>IF(AND(Pay_Num&lt;&gt;"",Sched_Pay+Extra_Pay&lt;Beg_Bal),Sched_Pay+Extra_Pay,IF(Pay_Num&lt;&gt;"",Beg_Bal,""))</f>
        <v>0</v>
      </c>
      <c r="G306" s="70">
        <f>IF(Pay_Num&lt;&gt;"",Total_Pay-Int,"")</f>
        <v>0</v>
      </c>
      <c r="H306" s="70">
        <f>IF(Pay_Num&lt;&gt;"",Beg_Bal*Interest_Rate/Num_Pmt_Per_Year,"")</f>
        <v>0</v>
      </c>
      <c r="I306" s="70">
        <f>IF(AND(Pay_Num&lt;&gt;"",Sched_Pay+Extra_Pay&lt;Beg_Bal),Beg_Bal-Princ,IF(Pay_Num&lt;&gt;"",0,""))</f>
        <v>0</v>
      </c>
      <c r="J306" s="70">
        <f>SUM($H$18:$H306)</f>
        <v>431201.75350020552</v>
      </c>
    </row>
    <row r="307" spans="1:10" x14ac:dyDescent="0.3">
      <c r="A307" s="36">
        <f>IF(Values_Entered,A306+1,"")</f>
        <v>290</v>
      </c>
      <c r="B307" s="35">
        <f>IF(Pay_Num&lt;&gt;"",DATE(YEAR(Loan_Start),MONTH(Loan_Start)+(Pay_Num)*12/Num_Pmt_Per_Year,DAY(Loan_Start)),"")</f>
        <v>72666</v>
      </c>
      <c r="C307" s="70">
        <f>IF(Pay_Num&lt;&gt;"",I306,"")</f>
        <v>0</v>
      </c>
      <c r="D307" s="70">
        <f>IF(Pay_Num&lt;&gt;"",Scheduled_Monthly_Payment,"")</f>
        <v>71560.087675010276</v>
      </c>
      <c r="E307" s="71">
        <f>IF(AND(Pay_Num&lt;&gt;"",Sched_Pay+Scheduled_Extra_Payments&lt;Beg_Bal),Scheduled_Extra_Payments,IF(AND(Pay_Num&lt;&gt;"",Beg_Bal-Sched_Pay&gt;0),Beg_Bal-Sched_Pay,IF(Pay_Num&lt;&gt;"",0,"")))</f>
        <v>0</v>
      </c>
      <c r="F307" s="70">
        <f>IF(AND(Pay_Num&lt;&gt;"",Sched_Pay+Extra_Pay&lt;Beg_Bal),Sched_Pay+Extra_Pay,IF(Pay_Num&lt;&gt;"",Beg_Bal,""))</f>
        <v>0</v>
      </c>
      <c r="G307" s="70">
        <f>IF(Pay_Num&lt;&gt;"",Total_Pay-Int,"")</f>
        <v>0</v>
      </c>
      <c r="H307" s="70">
        <f>IF(Pay_Num&lt;&gt;"",Beg_Bal*Interest_Rate/Num_Pmt_Per_Year,"")</f>
        <v>0</v>
      </c>
      <c r="I307" s="70">
        <f>IF(AND(Pay_Num&lt;&gt;"",Sched_Pay+Extra_Pay&lt;Beg_Bal),Beg_Bal-Princ,IF(Pay_Num&lt;&gt;"",0,""))</f>
        <v>0</v>
      </c>
      <c r="J307" s="70">
        <f>SUM($H$18:$H307)</f>
        <v>431201.75350020552</v>
      </c>
    </row>
    <row r="308" spans="1:10" x14ac:dyDescent="0.3">
      <c r="A308" s="36">
        <f>IF(Values_Entered,A307+1,"")</f>
        <v>291</v>
      </c>
      <c r="B308" s="35">
        <f>IF(Pay_Num&lt;&gt;"",DATE(YEAR(Loan_Start),MONTH(Loan_Start)+(Pay_Num)*12/Num_Pmt_Per_Year,DAY(Loan_Start)),"")</f>
        <v>72756</v>
      </c>
      <c r="C308" s="70">
        <f>IF(Pay_Num&lt;&gt;"",I307,"")</f>
        <v>0</v>
      </c>
      <c r="D308" s="70">
        <f>IF(Pay_Num&lt;&gt;"",Scheduled_Monthly_Payment,"")</f>
        <v>71560.087675010276</v>
      </c>
      <c r="E308" s="71">
        <f>IF(AND(Pay_Num&lt;&gt;"",Sched_Pay+Scheduled_Extra_Payments&lt;Beg_Bal),Scheduled_Extra_Payments,IF(AND(Pay_Num&lt;&gt;"",Beg_Bal-Sched_Pay&gt;0),Beg_Bal-Sched_Pay,IF(Pay_Num&lt;&gt;"",0,"")))</f>
        <v>0</v>
      </c>
      <c r="F308" s="70">
        <f>IF(AND(Pay_Num&lt;&gt;"",Sched_Pay+Extra_Pay&lt;Beg_Bal),Sched_Pay+Extra_Pay,IF(Pay_Num&lt;&gt;"",Beg_Bal,""))</f>
        <v>0</v>
      </c>
      <c r="G308" s="70">
        <f>IF(Pay_Num&lt;&gt;"",Total_Pay-Int,"")</f>
        <v>0</v>
      </c>
      <c r="H308" s="70">
        <f>IF(Pay_Num&lt;&gt;"",Beg_Bal*Interest_Rate/Num_Pmt_Per_Year,"")</f>
        <v>0</v>
      </c>
      <c r="I308" s="70">
        <f>IF(AND(Pay_Num&lt;&gt;"",Sched_Pay+Extra_Pay&lt;Beg_Bal),Beg_Bal-Princ,IF(Pay_Num&lt;&gt;"",0,""))</f>
        <v>0</v>
      </c>
      <c r="J308" s="70">
        <f>SUM($H$18:$H308)</f>
        <v>431201.75350020552</v>
      </c>
    </row>
    <row r="309" spans="1:10" x14ac:dyDescent="0.3">
      <c r="A309" s="36">
        <f>IF(Values_Entered,A308+1,"")</f>
        <v>292</v>
      </c>
      <c r="B309" s="35">
        <f>IF(Pay_Num&lt;&gt;"",DATE(YEAR(Loan_Start),MONTH(Loan_Start)+(Pay_Num)*12/Num_Pmt_Per_Year,DAY(Loan_Start)),"")</f>
        <v>72848</v>
      </c>
      <c r="C309" s="70">
        <f>IF(Pay_Num&lt;&gt;"",I308,"")</f>
        <v>0</v>
      </c>
      <c r="D309" s="70">
        <f>IF(Pay_Num&lt;&gt;"",Scheduled_Monthly_Payment,"")</f>
        <v>71560.087675010276</v>
      </c>
      <c r="E309" s="71">
        <f>IF(AND(Pay_Num&lt;&gt;"",Sched_Pay+Scheduled_Extra_Payments&lt;Beg_Bal),Scheduled_Extra_Payments,IF(AND(Pay_Num&lt;&gt;"",Beg_Bal-Sched_Pay&gt;0),Beg_Bal-Sched_Pay,IF(Pay_Num&lt;&gt;"",0,"")))</f>
        <v>0</v>
      </c>
      <c r="F309" s="70">
        <f>IF(AND(Pay_Num&lt;&gt;"",Sched_Pay+Extra_Pay&lt;Beg_Bal),Sched_Pay+Extra_Pay,IF(Pay_Num&lt;&gt;"",Beg_Bal,""))</f>
        <v>0</v>
      </c>
      <c r="G309" s="70">
        <f>IF(Pay_Num&lt;&gt;"",Total_Pay-Int,"")</f>
        <v>0</v>
      </c>
      <c r="H309" s="70">
        <f>IF(Pay_Num&lt;&gt;"",Beg_Bal*Interest_Rate/Num_Pmt_Per_Year,"")</f>
        <v>0</v>
      </c>
      <c r="I309" s="70">
        <f>IF(AND(Pay_Num&lt;&gt;"",Sched_Pay+Extra_Pay&lt;Beg_Bal),Beg_Bal-Princ,IF(Pay_Num&lt;&gt;"",0,""))</f>
        <v>0</v>
      </c>
      <c r="J309" s="70">
        <f>SUM($H$18:$H309)</f>
        <v>431201.75350020552</v>
      </c>
    </row>
    <row r="310" spans="1:10" x14ac:dyDescent="0.3">
      <c r="A310" s="36">
        <f>IF(Values_Entered,A309+1,"")</f>
        <v>293</v>
      </c>
      <c r="B310" s="35">
        <f>IF(Pay_Num&lt;&gt;"",DATE(YEAR(Loan_Start),MONTH(Loan_Start)+(Pay_Num)*12/Num_Pmt_Per_Year,DAY(Loan_Start)),"")</f>
        <v>72940</v>
      </c>
      <c r="C310" s="70">
        <f>IF(Pay_Num&lt;&gt;"",I309,"")</f>
        <v>0</v>
      </c>
      <c r="D310" s="70">
        <f>IF(Pay_Num&lt;&gt;"",Scheduled_Monthly_Payment,"")</f>
        <v>71560.087675010276</v>
      </c>
      <c r="E310" s="71">
        <f>IF(AND(Pay_Num&lt;&gt;"",Sched_Pay+Scheduled_Extra_Payments&lt;Beg_Bal),Scheduled_Extra_Payments,IF(AND(Pay_Num&lt;&gt;"",Beg_Bal-Sched_Pay&gt;0),Beg_Bal-Sched_Pay,IF(Pay_Num&lt;&gt;"",0,"")))</f>
        <v>0</v>
      </c>
      <c r="F310" s="70">
        <f>IF(AND(Pay_Num&lt;&gt;"",Sched_Pay+Extra_Pay&lt;Beg_Bal),Sched_Pay+Extra_Pay,IF(Pay_Num&lt;&gt;"",Beg_Bal,""))</f>
        <v>0</v>
      </c>
      <c r="G310" s="70">
        <f>IF(Pay_Num&lt;&gt;"",Total_Pay-Int,"")</f>
        <v>0</v>
      </c>
      <c r="H310" s="70">
        <f>IF(Pay_Num&lt;&gt;"",Beg_Bal*Interest_Rate/Num_Pmt_Per_Year,"")</f>
        <v>0</v>
      </c>
      <c r="I310" s="70">
        <f>IF(AND(Pay_Num&lt;&gt;"",Sched_Pay+Extra_Pay&lt;Beg_Bal),Beg_Bal-Princ,IF(Pay_Num&lt;&gt;"",0,""))</f>
        <v>0</v>
      </c>
      <c r="J310" s="70">
        <f>SUM($H$18:$H310)</f>
        <v>431201.75350020552</v>
      </c>
    </row>
    <row r="311" spans="1:10" x14ac:dyDescent="0.3">
      <c r="A311" s="36">
        <f>IF(Values_Entered,A310+1,"")</f>
        <v>294</v>
      </c>
      <c r="B311" s="35">
        <f>IF(Pay_Num&lt;&gt;"",DATE(YEAR(Loan_Start),MONTH(Loan_Start)+(Pay_Num)*12/Num_Pmt_Per_Year,DAY(Loan_Start)),"")</f>
        <v>73031</v>
      </c>
      <c r="C311" s="70">
        <f>IF(Pay_Num&lt;&gt;"",I310,"")</f>
        <v>0</v>
      </c>
      <c r="D311" s="70">
        <f>IF(Pay_Num&lt;&gt;"",Scheduled_Monthly_Payment,"")</f>
        <v>71560.087675010276</v>
      </c>
      <c r="E311" s="71">
        <f>IF(AND(Pay_Num&lt;&gt;"",Sched_Pay+Scheduled_Extra_Payments&lt;Beg_Bal),Scheduled_Extra_Payments,IF(AND(Pay_Num&lt;&gt;"",Beg_Bal-Sched_Pay&gt;0),Beg_Bal-Sched_Pay,IF(Pay_Num&lt;&gt;"",0,"")))</f>
        <v>0</v>
      </c>
      <c r="F311" s="70">
        <f>IF(AND(Pay_Num&lt;&gt;"",Sched_Pay+Extra_Pay&lt;Beg_Bal),Sched_Pay+Extra_Pay,IF(Pay_Num&lt;&gt;"",Beg_Bal,""))</f>
        <v>0</v>
      </c>
      <c r="G311" s="70">
        <f>IF(Pay_Num&lt;&gt;"",Total_Pay-Int,"")</f>
        <v>0</v>
      </c>
      <c r="H311" s="70">
        <f>IF(Pay_Num&lt;&gt;"",Beg_Bal*Interest_Rate/Num_Pmt_Per_Year,"")</f>
        <v>0</v>
      </c>
      <c r="I311" s="70">
        <f>IF(AND(Pay_Num&lt;&gt;"",Sched_Pay+Extra_Pay&lt;Beg_Bal),Beg_Bal-Princ,IF(Pay_Num&lt;&gt;"",0,""))</f>
        <v>0</v>
      </c>
      <c r="J311" s="70">
        <f>SUM($H$18:$H311)</f>
        <v>431201.75350020552</v>
      </c>
    </row>
    <row r="312" spans="1:10" x14ac:dyDescent="0.3">
      <c r="A312" s="36">
        <f>IF(Values_Entered,A311+1,"")</f>
        <v>295</v>
      </c>
      <c r="B312" s="35">
        <f>IF(Pay_Num&lt;&gt;"",DATE(YEAR(Loan_Start),MONTH(Loan_Start)+(Pay_Num)*12/Num_Pmt_Per_Year,DAY(Loan_Start)),"")</f>
        <v>73121</v>
      </c>
      <c r="C312" s="70">
        <f>IF(Pay_Num&lt;&gt;"",I311,"")</f>
        <v>0</v>
      </c>
      <c r="D312" s="70">
        <f>IF(Pay_Num&lt;&gt;"",Scheduled_Monthly_Payment,"")</f>
        <v>71560.087675010276</v>
      </c>
      <c r="E312" s="71">
        <f>IF(AND(Pay_Num&lt;&gt;"",Sched_Pay+Scheduled_Extra_Payments&lt;Beg_Bal),Scheduled_Extra_Payments,IF(AND(Pay_Num&lt;&gt;"",Beg_Bal-Sched_Pay&gt;0),Beg_Bal-Sched_Pay,IF(Pay_Num&lt;&gt;"",0,"")))</f>
        <v>0</v>
      </c>
      <c r="F312" s="70">
        <f>IF(AND(Pay_Num&lt;&gt;"",Sched_Pay+Extra_Pay&lt;Beg_Bal),Sched_Pay+Extra_Pay,IF(Pay_Num&lt;&gt;"",Beg_Bal,""))</f>
        <v>0</v>
      </c>
      <c r="G312" s="70">
        <f>IF(Pay_Num&lt;&gt;"",Total_Pay-Int,"")</f>
        <v>0</v>
      </c>
      <c r="H312" s="70">
        <f>IF(Pay_Num&lt;&gt;"",Beg_Bal*Interest_Rate/Num_Pmt_Per_Year,"")</f>
        <v>0</v>
      </c>
      <c r="I312" s="70">
        <f>IF(AND(Pay_Num&lt;&gt;"",Sched_Pay+Extra_Pay&lt;Beg_Bal),Beg_Bal-Princ,IF(Pay_Num&lt;&gt;"",0,""))</f>
        <v>0</v>
      </c>
      <c r="J312" s="70">
        <f>SUM($H$18:$H312)</f>
        <v>431201.75350020552</v>
      </c>
    </row>
    <row r="313" spans="1:10" x14ac:dyDescent="0.3">
      <c r="A313" s="36">
        <f>IF(Values_Entered,A312+1,"")</f>
        <v>296</v>
      </c>
      <c r="B313" s="35">
        <f>IF(Pay_Num&lt;&gt;"",DATE(YEAR(Loan_Start),MONTH(Loan_Start)+(Pay_Num)*12/Num_Pmt_Per_Year,DAY(Loan_Start)),"")</f>
        <v>73213</v>
      </c>
      <c r="C313" s="70">
        <f>IF(Pay_Num&lt;&gt;"",I312,"")</f>
        <v>0</v>
      </c>
      <c r="D313" s="70">
        <f>IF(Pay_Num&lt;&gt;"",Scheduled_Monthly_Payment,"")</f>
        <v>71560.087675010276</v>
      </c>
      <c r="E313" s="71">
        <f>IF(AND(Pay_Num&lt;&gt;"",Sched_Pay+Scheduled_Extra_Payments&lt;Beg_Bal),Scheduled_Extra_Payments,IF(AND(Pay_Num&lt;&gt;"",Beg_Bal-Sched_Pay&gt;0),Beg_Bal-Sched_Pay,IF(Pay_Num&lt;&gt;"",0,"")))</f>
        <v>0</v>
      </c>
      <c r="F313" s="70">
        <f>IF(AND(Pay_Num&lt;&gt;"",Sched_Pay+Extra_Pay&lt;Beg_Bal),Sched_Pay+Extra_Pay,IF(Pay_Num&lt;&gt;"",Beg_Bal,""))</f>
        <v>0</v>
      </c>
      <c r="G313" s="70">
        <f>IF(Pay_Num&lt;&gt;"",Total_Pay-Int,"")</f>
        <v>0</v>
      </c>
      <c r="H313" s="70">
        <f>IF(Pay_Num&lt;&gt;"",Beg_Bal*Interest_Rate/Num_Pmt_Per_Year,"")</f>
        <v>0</v>
      </c>
      <c r="I313" s="70">
        <f>IF(AND(Pay_Num&lt;&gt;"",Sched_Pay+Extra_Pay&lt;Beg_Bal),Beg_Bal-Princ,IF(Pay_Num&lt;&gt;"",0,""))</f>
        <v>0</v>
      </c>
      <c r="J313" s="70">
        <f>SUM($H$18:$H313)</f>
        <v>431201.75350020552</v>
      </c>
    </row>
    <row r="314" spans="1:10" x14ac:dyDescent="0.3">
      <c r="A314" s="36">
        <f>IF(Values_Entered,A313+1,"")</f>
        <v>297</v>
      </c>
      <c r="B314" s="35">
        <f>IF(Pay_Num&lt;&gt;"",DATE(YEAR(Loan_Start),MONTH(Loan_Start)+(Pay_Num)*12/Num_Pmt_Per_Year,DAY(Loan_Start)),"")</f>
        <v>73305</v>
      </c>
      <c r="C314" s="70">
        <f>IF(Pay_Num&lt;&gt;"",I313,"")</f>
        <v>0</v>
      </c>
      <c r="D314" s="70">
        <f>IF(Pay_Num&lt;&gt;"",Scheduled_Monthly_Payment,"")</f>
        <v>71560.087675010276</v>
      </c>
      <c r="E314" s="71">
        <f>IF(AND(Pay_Num&lt;&gt;"",Sched_Pay+Scheduled_Extra_Payments&lt;Beg_Bal),Scheduled_Extra_Payments,IF(AND(Pay_Num&lt;&gt;"",Beg_Bal-Sched_Pay&gt;0),Beg_Bal-Sched_Pay,IF(Pay_Num&lt;&gt;"",0,"")))</f>
        <v>0</v>
      </c>
      <c r="F314" s="70">
        <f>IF(AND(Pay_Num&lt;&gt;"",Sched_Pay+Extra_Pay&lt;Beg_Bal),Sched_Pay+Extra_Pay,IF(Pay_Num&lt;&gt;"",Beg_Bal,""))</f>
        <v>0</v>
      </c>
      <c r="G314" s="70">
        <f>IF(Pay_Num&lt;&gt;"",Total_Pay-Int,"")</f>
        <v>0</v>
      </c>
      <c r="H314" s="70">
        <f>IF(Pay_Num&lt;&gt;"",Beg_Bal*Interest_Rate/Num_Pmt_Per_Year,"")</f>
        <v>0</v>
      </c>
      <c r="I314" s="70">
        <f>IF(AND(Pay_Num&lt;&gt;"",Sched_Pay+Extra_Pay&lt;Beg_Bal),Beg_Bal-Princ,IF(Pay_Num&lt;&gt;"",0,""))</f>
        <v>0</v>
      </c>
      <c r="J314" s="70">
        <f>SUM($H$18:$H314)</f>
        <v>431201.75350020552</v>
      </c>
    </row>
    <row r="315" spans="1:10" x14ac:dyDescent="0.3">
      <c r="A315" s="36">
        <f>IF(Values_Entered,A314+1,"")</f>
        <v>298</v>
      </c>
      <c r="B315" s="35">
        <f>IF(Pay_Num&lt;&gt;"",DATE(YEAR(Loan_Start),MONTH(Loan_Start)+(Pay_Num)*12/Num_Pmt_Per_Year,DAY(Loan_Start)),"")</f>
        <v>73396</v>
      </c>
      <c r="C315" s="70">
        <f>IF(Pay_Num&lt;&gt;"",I314,"")</f>
        <v>0</v>
      </c>
      <c r="D315" s="70">
        <f>IF(Pay_Num&lt;&gt;"",Scheduled_Monthly_Payment,"")</f>
        <v>71560.087675010276</v>
      </c>
      <c r="E315" s="71">
        <f>IF(AND(Pay_Num&lt;&gt;"",Sched_Pay+Scheduled_Extra_Payments&lt;Beg_Bal),Scheduled_Extra_Payments,IF(AND(Pay_Num&lt;&gt;"",Beg_Bal-Sched_Pay&gt;0),Beg_Bal-Sched_Pay,IF(Pay_Num&lt;&gt;"",0,"")))</f>
        <v>0</v>
      </c>
      <c r="F315" s="70">
        <f>IF(AND(Pay_Num&lt;&gt;"",Sched_Pay+Extra_Pay&lt;Beg_Bal),Sched_Pay+Extra_Pay,IF(Pay_Num&lt;&gt;"",Beg_Bal,""))</f>
        <v>0</v>
      </c>
      <c r="G315" s="70">
        <f>IF(Pay_Num&lt;&gt;"",Total_Pay-Int,"")</f>
        <v>0</v>
      </c>
      <c r="H315" s="70">
        <f>IF(Pay_Num&lt;&gt;"",Beg_Bal*Interest_Rate/Num_Pmt_Per_Year,"")</f>
        <v>0</v>
      </c>
      <c r="I315" s="70">
        <f>IF(AND(Pay_Num&lt;&gt;"",Sched_Pay+Extra_Pay&lt;Beg_Bal),Beg_Bal-Princ,IF(Pay_Num&lt;&gt;"",0,""))</f>
        <v>0</v>
      </c>
      <c r="J315" s="70">
        <f>SUM($H$18:$H315)</f>
        <v>431201.75350020552</v>
      </c>
    </row>
    <row r="316" spans="1:10" x14ac:dyDescent="0.3">
      <c r="A316" s="36">
        <f>IF(Values_Entered,A315+1,"")</f>
        <v>299</v>
      </c>
      <c r="B316" s="35">
        <f>IF(Pay_Num&lt;&gt;"",DATE(YEAR(Loan_Start),MONTH(Loan_Start)+(Pay_Num)*12/Num_Pmt_Per_Year,DAY(Loan_Start)),"")</f>
        <v>73486</v>
      </c>
      <c r="C316" s="70">
        <f>IF(Pay_Num&lt;&gt;"",I315,"")</f>
        <v>0</v>
      </c>
      <c r="D316" s="70">
        <f>IF(Pay_Num&lt;&gt;"",Scheduled_Monthly_Payment,"")</f>
        <v>71560.087675010276</v>
      </c>
      <c r="E316" s="71">
        <f>IF(AND(Pay_Num&lt;&gt;"",Sched_Pay+Scheduled_Extra_Payments&lt;Beg_Bal),Scheduled_Extra_Payments,IF(AND(Pay_Num&lt;&gt;"",Beg_Bal-Sched_Pay&gt;0),Beg_Bal-Sched_Pay,IF(Pay_Num&lt;&gt;"",0,"")))</f>
        <v>0</v>
      </c>
      <c r="F316" s="70">
        <f>IF(AND(Pay_Num&lt;&gt;"",Sched_Pay+Extra_Pay&lt;Beg_Bal),Sched_Pay+Extra_Pay,IF(Pay_Num&lt;&gt;"",Beg_Bal,""))</f>
        <v>0</v>
      </c>
      <c r="G316" s="70">
        <f>IF(Pay_Num&lt;&gt;"",Total_Pay-Int,"")</f>
        <v>0</v>
      </c>
      <c r="H316" s="70">
        <f>IF(Pay_Num&lt;&gt;"",Beg_Bal*Interest_Rate/Num_Pmt_Per_Year,"")</f>
        <v>0</v>
      </c>
      <c r="I316" s="70">
        <f>IF(AND(Pay_Num&lt;&gt;"",Sched_Pay+Extra_Pay&lt;Beg_Bal),Beg_Bal-Princ,IF(Pay_Num&lt;&gt;"",0,""))</f>
        <v>0</v>
      </c>
      <c r="J316" s="70">
        <f>SUM($H$18:$H316)</f>
        <v>431201.75350020552</v>
      </c>
    </row>
    <row r="317" spans="1:10" x14ac:dyDescent="0.3">
      <c r="A317" s="36">
        <f>IF(Values_Entered,A316+1,"")</f>
        <v>300</v>
      </c>
      <c r="B317" s="35">
        <f>IF(Pay_Num&lt;&gt;"",DATE(YEAR(Loan_Start),MONTH(Loan_Start)+(Pay_Num)*12/Num_Pmt_Per_Year,DAY(Loan_Start)),"")</f>
        <v>73578</v>
      </c>
      <c r="C317" s="70">
        <f>IF(Pay_Num&lt;&gt;"",I316,"")</f>
        <v>0</v>
      </c>
      <c r="D317" s="70">
        <f>IF(Pay_Num&lt;&gt;"",Scheduled_Monthly_Payment,"")</f>
        <v>71560.087675010276</v>
      </c>
      <c r="E317" s="71">
        <f>IF(AND(Pay_Num&lt;&gt;"",Sched_Pay+Scheduled_Extra_Payments&lt;Beg_Bal),Scheduled_Extra_Payments,IF(AND(Pay_Num&lt;&gt;"",Beg_Bal-Sched_Pay&gt;0),Beg_Bal-Sched_Pay,IF(Pay_Num&lt;&gt;"",0,"")))</f>
        <v>0</v>
      </c>
      <c r="F317" s="70">
        <f>IF(AND(Pay_Num&lt;&gt;"",Sched_Pay+Extra_Pay&lt;Beg_Bal),Sched_Pay+Extra_Pay,IF(Pay_Num&lt;&gt;"",Beg_Bal,""))</f>
        <v>0</v>
      </c>
      <c r="G317" s="70">
        <f>IF(Pay_Num&lt;&gt;"",Total_Pay-Int,"")</f>
        <v>0</v>
      </c>
      <c r="H317" s="70">
        <f>IF(Pay_Num&lt;&gt;"",Beg_Bal*Interest_Rate/Num_Pmt_Per_Year,"")</f>
        <v>0</v>
      </c>
      <c r="I317" s="70">
        <f>IF(AND(Pay_Num&lt;&gt;"",Sched_Pay+Extra_Pay&lt;Beg_Bal),Beg_Bal-Princ,IF(Pay_Num&lt;&gt;"",0,""))</f>
        <v>0</v>
      </c>
      <c r="J317" s="70">
        <f>SUM($H$18:$H317)</f>
        <v>431201.75350020552</v>
      </c>
    </row>
    <row r="318" spans="1:10" x14ac:dyDescent="0.3">
      <c r="A318" s="36">
        <f>IF(Values_Entered,A317+1,"")</f>
        <v>301</v>
      </c>
      <c r="B318" s="35">
        <f>IF(Pay_Num&lt;&gt;"",DATE(YEAR(Loan_Start),MONTH(Loan_Start)+(Pay_Num)*12/Num_Pmt_Per_Year,DAY(Loan_Start)),"")</f>
        <v>73670</v>
      </c>
      <c r="C318" s="70">
        <f>IF(Pay_Num&lt;&gt;"",I317,"")</f>
        <v>0</v>
      </c>
      <c r="D318" s="70">
        <f>IF(Pay_Num&lt;&gt;"",Scheduled_Monthly_Payment,"")</f>
        <v>71560.087675010276</v>
      </c>
      <c r="E318" s="71">
        <f>IF(AND(Pay_Num&lt;&gt;"",Sched_Pay+Scheduled_Extra_Payments&lt;Beg_Bal),Scheduled_Extra_Payments,IF(AND(Pay_Num&lt;&gt;"",Beg_Bal-Sched_Pay&gt;0),Beg_Bal-Sched_Pay,IF(Pay_Num&lt;&gt;"",0,"")))</f>
        <v>0</v>
      </c>
      <c r="F318" s="70">
        <f>IF(AND(Pay_Num&lt;&gt;"",Sched_Pay+Extra_Pay&lt;Beg_Bal),Sched_Pay+Extra_Pay,IF(Pay_Num&lt;&gt;"",Beg_Bal,""))</f>
        <v>0</v>
      </c>
      <c r="G318" s="70">
        <f>IF(Pay_Num&lt;&gt;"",Total_Pay-Int,"")</f>
        <v>0</v>
      </c>
      <c r="H318" s="70">
        <f>IF(Pay_Num&lt;&gt;"",Beg_Bal*Interest_Rate/Num_Pmt_Per_Year,"")</f>
        <v>0</v>
      </c>
      <c r="I318" s="70">
        <f>IF(AND(Pay_Num&lt;&gt;"",Sched_Pay+Extra_Pay&lt;Beg_Bal),Beg_Bal-Princ,IF(Pay_Num&lt;&gt;"",0,""))</f>
        <v>0</v>
      </c>
      <c r="J318" s="70">
        <f>SUM($H$18:$H318)</f>
        <v>431201.75350020552</v>
      </c>
    </row>
    <row r="319" spans="1:10" x14ac:dyDescent="0.3">
      <c r="A319" s="36">
        <f>IF(Values_Entered,A318+1,"")</f>
        <v>302</v>
      </c>
      <c r="B319" s="35">
        <f>IF(Pay_Num&lt;&gt;"",DATE(YEAR(Loan_Start),MONTH(Loan_Start)+(Pay_Num)*12/Num_Pmt_Per_Year,DAY(Loan_Start)),"")</f>
        <v>73761</v>
      </c>
      <c r="C319" s="70">
        <f>IF(Pay_Num&lt;&gt;"",I318,"")</f>
        <v>0</v>
      </c>
      <c r="D319" s="70">
        <f>IF(Pay_Num&lt;&gt;"",Scheduled_Monthly_Payment,"")</f>
        <v>71560.087675010276</v>
      </c>
      <c r="E319" s="71">
        <f>IF(AND(Pay_Num&lt;&gt;"",Sched_Pay+Scheduled_Extra_Payments&lt;Beg_Bal),Scheduled_Extra_Payments,IF(AND(Pay_Num&lt;&gt;"",Beg_Bal-Sched_Pay&gt;0),Beg_Bal-Sched_Pay,IF(Pay_Num&lt;&gt;"",0,"")))</f>
        <v>0</v>
      </c>
      <c r="F319" s="70">
        <f>IF(AND(Pay_Num&lt;&gt;"",Sched_Pay+Extra_Pay&lt;Beg_Bal),Sched_Pay+Extra_Pay,IF(Pay_Num&lt;&gt;"",Beg_Bal,""))</f>
        <v>0</v>
      </c>
      <c r="G319" s="70">
        <f>IF(Pay_Num&lt;&gt;"",Total_Pay-Int,"")</f>
        <v>0</v>
      </c>
      <c r="H319" s="70">
        <f>IF(Pay_Num&lt;&gt;"",Beg_Bal*Interest_Rate/Num_Pmt_Per_Year,"")</f>
        <v>0</v>
      </c>
      <c r="I319" s="70">
        <f>IF(AND(Pay_Num&lt;&gt;"",Sched_Pay+Extra_Pay&lt;Beg_Bal),Beg_Bal-Princ,IF(Pay_Num&lt;&gt;"",0,""))</f>
        <v>0</v>
      </c>
      <c r="J319" s="70">
        <f>SUM($H$18:$H319)</f>
        <v>431201.75350020552</v>
      </c>
    </row>
    <row r="320" spans="1:10" x14ac:dyDescent="0.3">
      <c r="A320" s="36">
        <f>IF(Values_Entered,A319+1,"")</f>
        <v>303</v>
      </c>
      <c r="B320" s="35">
        <f>IF(Pay_Num&lt;&gt;"",DATE(YEAR(Loan_Start),MONTH(Loan_Start)+(Pay_Num)*12/Num_Pmt_Per_Year,DAY(Loan_Start)),"")</f>
        <v>73851</v>
      </c>
      <c r="C320" s="70">
        <f>IF(Pay_Num&lt;&gt;"",I319,"")</f>
        <v>0</v>
      </c>
      <c r="D320" s="70">
        <f>IF(Pay_Num&lt;&gt;"",Scheduled_Monthly_Payment,"")</f>
        <v>71560.087675010276</v>
      </c>
      <c r="E320" s="71">
        <f>IF(AND(Pay_Num&lt;&gt;"",Sched_Pay+Scheduled_Extra_Payments&lt;Beg_Bal),Scheduled_Extra_Payments,IF(AND(Pay_Num&lt;&gt;"",Beg_Bal-Sched_Pay&gt;0),Beg_Bal-Sched_Pay,IF(Pay_Num&lt;&gt;"",0,"")))</f>
        <v>0</v>
      </c>
      <c r="F320" s="70">
        <f>IF(AND(Pay_Num&lt;&gt;"",Sched_Pay+Extra_Pay&lt;Beg_Bal),Sched_Pay+Extra_Pay,IF(Pay_Num&lt;&gt;"",Beg_Bal,""))</f>
        <v>0</v>
      </c>
      <c r="G320" s="70">
        <f>IF(Pay_Num&lt;&gt;"",Total_Pay-Int,"")</f>
        <v>0</v>
      </c>
      <c r="H320" s="70">
        <f>IF(Pay_Num&lt;&gt;"",Beg_Bal*Interest_Rate/Num_Pmt_Per_Year,"")</f>
        <v>0</v>
      </c>
      <c r="I320" s="70">
        <f>IF(AND(Pay_Num&lt;&gt;"",Sched_Pay+Extra_Pay&lt;Beg_Bal),Beg_Bal-Princ,IF(Pay_Num&lt;&gt;"",0,""))</f>
        <v>0</v>
      </c>
      <c r="J320" s="70">
        <f>SUM($H$18:$H320)</f>
        <v>431201.75350020552</v>
      </c>
    </row>
    <row r="321" spans="1:10" x14ac:dyDescent="0.3">
      <c r="A321" s="36">
        <f>IF(Values_Entered,A320+1,"")</f>
        <v>304</v>
      </c>
      <c r="B321" s="35">
        <f>IF(Pay_Num&lt;&gt;"",DATE(YEAR(Loan_Start),MONTH(Loan_Start)+(Pay_Num)*12/Num_Pmt_Per_Year,DAY(Loan_Start)),"")</f>
        <v>73943</v>
      </c>
      <c r="C321" s="70">
        <f>IF(Pay_Num&lt;&gt;"",I320,"")</f>
        <v>0</v>
      </c>
      <c r="D321" s="70">
        <f>IF(Pay_Num&lt;&gt;"",Scheduled_Monthly_Payment,"")</f>
        <v>71560.087675010276</v>
      </c>
      <c r="E321" s="71">
        <f>IF(AND(Pay_Num&lt;&gt;"",Sched_Pay+Scheduled_Extra_Payments&lt;Beg_Bal),Scheduled_Extra_Payments,IF(AND(Pay_Num&lt;&gt;"",Beg_Bal-Sched_Pay&gt;0),Beg_Bal-Sched_Pay,IF(Pay_Num&lt;&gt;"",0,"")))</f>
        <v>0</v>
      </c>
      <c r="F321" s="70">
        <f>IF(AND(Pay_Num&lt;&gt;"",Sched_Pay+Extra_Pay&lt;Beg_Bal),Sched_Pay+Extra_Pay,IF(Pay_Num&lt;&gt;"",Beg_Bal,""))</f>
        <v>0</v>
      </c>
      <c r="G321" s="70">
        <f>IF(Pay_Num&lt;&gt;"",Total_Pay-Int,"")</f>
        <v>0</v>
      </c>
      <c r="H321" s="70">
        <f>IF(Pay_Num&lt;&gt;"",Beg_Bal*Interest_Rate/Num_Pmt_Per_Year,"")</f>
        <v>0</v>
      </c>
      <c r="I321" s="70">
        <f>IF(AND(Pay_Num&lt;&gt;"",Sched_Pay+Extra_Pay&lt;Beg_Bal),Beg_Bal-Princ,IF(Pay_Num&lt;&gt;"",0,""))</f>
        <v>0</v>
      </c>
      <c r="J321" s="70">
        <f>SUM($H$18:$H321)</f>
        <v>431201.75350020552</v>
      </c>
    </row>
    <row r="322" spans="1:10" x14ac:dyDescent="0.3">
      <c r="A322" s="36">
        <f>IF(Values_Entered,A321+1,"")</f>
        <v>305</v>
      </c>
      <c r="B322" s="35">
        <f>IF(Pay_Num&lt;&gt;"",DATE(YEAR(Loan_Start),MONTH(Loan_Start)+(Pay_Num)*12/Num_Pmt_Per_Year,DAY(Loan_Start)),"")</f>
        <v>74035</v>
      </c>
      <c r="C322" s="70">
        <f>IF(Pay_Num&lt;&gt;"",I321,"")</f>
        <v>0</v>
      </c>
      <c r="D322" s="70">
        <f>IF(Pay_Num&lt;&gt;"",Scheduled_Monthly_Payment,"")</f>
        <v>71560.087675010276</v>
      </c>
      <c r="E322" s="71">
        <f>IF(AND(Pay_Num&lt;&gt;"",Sched_Pay+Scheduled_Extra_Payments&lt;Beg_Bal),Scheduled_Extra_Payments,IF(AND(Pay_Num&lt;&gt;"",Beg_Bal-Sched_Pay&gt;0),Beg_Bal-Sched_Pay,IF(Pay_Num&lt;&gt;"",0,"")))</f>
        <v>0</v>
      </c>
      <c r="F322" s="70">
        <f>IF(AND(Pay_Num&lt;&gt;"",Sched_Pay+Extra_Pay&lt;Beg_Bal),Sched_Pay+Extra_Pay,IF(Pay_Num&lt;&gt;"",Beg_Bal,""))</f>
        <v>0</v>
      </c>
      <c r="G322" s="70">
        <f>IF(Pay_Num&lt;&gt;"",Total_Pay-Int,"")</f>
        <v>0</v>
      </c>
      <c r="H322" s="70">
        <f>IF(Pay_Num&lt;&gt;"",Beg_Bal*Interest_Rate/Num_Pmt_Per_Year,"")</f>
        <v>0</v>
      </c>
      <c r="I322" s="70">
        <f>IF(AND(Pay_Num&lt;&gt;"",Sched_Pay+Extra_Pay&lt;Beg_Bal),Beg_Bal-Princ,IF(Pay_Num&lt;&gt;"",0,""))</f>
        <v>0</v>
      </c>
      <c r="J322" s="70">
        <f>SUM($H$18:$H322)</f>
        <v>431201.75350020552</v>
      </c>
    </row>
    <row r="323" spans="1:10" x14ac:dyDescent="0.3">
      <c r="A323" s="36">
        <f>IF(Values_Entered,A322+1,"")</f>
        <v>306</v>
      </c>
      <c r="B323" s="35">
        <f>IF(Pay_Num&lt;&gt;"",DATE(YEAR(Loan_Start),MONTH(Loan_Start)+(Pay_Num)*12/Num_Pmt_Per_Year,DAY(Loan_Start)),"")</f>
        <v>74126</v>
      </c>
      <c r="C323" s="70">
        <f>IF(Pay_Num&lt;&gt;"",I322,"")</f>
        <v>0</v>
      </c>
      <c r="D323" s="70">
        <f>IF(Pay_Num&lt;&gt;"",Scheduled_Monthly_Payment,"")</f>
        <v>71560.087675010276</v>
      </c>
      <c r="E323" s="71">
        <f>IF(AND(Pay_Num&lt;&gt;"",Sched_Pay+Scheduled_Extra_Payments&lt;Beg_Bal),Scheduled_Extra_Payments,IF(AND(Pay_Num&lt;&gt;"",Beg_Bal-Sched_Pay&gt;0),Beg_Bal-Sched_Pay,IF(Pay_Num&lt;&gt;"",0,"")))</f>
        <v>0</v>
      </c>
      <c r="F323" s="70">
        <f>IF(AND(Pay_Num&lt;&gt;"",Sched_Pay+Extra_Pay&lt;Beg_Bal),Sched_Pay+Extra_Pay,IF(Pay_Num&lt;&gt;"",Beg_Bal,""))</f>
        <v>0</v>
      </c>
      <c r="G323" s="70">
        <f>IF(Pay_Num&lt;&gt;"",Total_Pay-Int,"")</f>
        <v>0</v>
      </c>
      <c r="H323" s="70">
        <f>IF(Pay_Num&lt;&gt;"",Beg_Bal*Interest_Rate/Num_Pmt_Per_Year,"")</f>
        <v>0</v>
      </c>
      <c r="I323" s="70">
        <f>IF(AND(Pay_Num&lt;&gt;"",Sched_Pay+Extra_Pay&lt;Beg_Bal),Beg_Bal-Princ,IF(Pay_Num&lt;&gt;"",0,""))</f>
        <v>0</v>
      </c>
      <c r="J323" s="70">
        <f>SUM($H$18:$H323)</f>
        <v>431201.75350020552</v>
      </c>
    </row>
    <row r="324" spans="1:10" x14ac:dyDescent="0.3">
      <c r="A324" s="36">
        <f>IF(Values_Entered,A323+1,"")</f>
        <v>307</v>
      </c>
      <c r="B324" s="35">
        <f>IF(Pay_Num&lt;&gt;"",DATE(YEAR(Loan_Start),MONTH(Loan_Start)+(Pay_Num)*12/Num_Pmt_Per_Year,DAY(Loan_Start)),"")</f>
        <v>74216</v>
      </c>
      <c r="C324" s="70">
        <f>IF(Pay_Num&lt;&gt;"",I323,"")</f>
        <v>0</v>
      </c>
      <c r="D324" s="70">
        <f>IF(Pay_Num&lt;&gt;"",Scheduled_Monthly_Payment,"")</f>
        <v>71560.087675010276</v>
      </c>
      <c r="E324" s="71">
        <f>IF(AND(Pay_Num&lt;&gt;"",Sched_Pay+Scheduled_Extra_Payments&lt;Beg_Bal),Scheduled_Extra_Payments,IF(AND(Pay_Num&lt;&gt;"",Beg_Bal-Sched_Pay&gt;0),Beg_Bal-Sched_Pay,IF(Pay_Num&lt;&gt;"",0,"")))</f>
        <v>0</v>
      </c>
      <c r="F324" s="70">
        <f>IF(AND(Pay_Num&lt;&gt;"",Sched_Pay+Extra_Pay&lt;Beg_Bal),Sched_Pay+Extra_Pay,IF(Pay_Num&lt;&gt;"",Beg_Bal,""))</f>
        <v>0</v>
      </c>
      <c r="G324" s="70">
        <f>IF(Pay_Num&lt;&gt;"",Total_Pay-Int,"")</f>
        <v>0</v>
      </c>
      <c r="H324" s="70">
        <f>IF(Pay_Num&lt;&gt;"",Beg_Bal*Interest_Rate/Num_Pmt_Per_Year,"")</f>
        <v>0</v>
      </c>
      <c r="I324" s="70">
        <f>IF(AND(Pay_Num&lt;&gt;"",Sched_Pay+Extra_Pay&lt;Beg_Bal),Beg_Bal-Princ,IF(Pay_Num&lt;&gt;"",0,""))</f>
        <v>0</v>
      </c>
      <c r="J324" s="70">
        <f>SUM($H$18:$H324)</f>
        <v>431201.75350020552</v>
      </c>
    </row>
    <row r="325" spans="1:10" x14ac:dyDescent="0.3">
      <c r="A325" s="36">
        <f>IF(Values_Entered,A324+1,"")</f>
        <v>308</v>
      </c>
      <c r="B325" s="35">
        <f>IF(Pay_Num&lt;&gt;"",DATE(YEAR(Loan_Start),MONTH(Loan_Start)+(Pay_Num)*12/Num_Pmt_Per_Year,DAY(Loan_Start)),"")</f>
        <v>74308</v>
      </c>
      <c r="C325" s="70">
        <f>IF(Pay_Num&lt;&gt;"",I324,"")</f>
        <v>0</v>
      </c>
      <c r="D325" s="70">
        <f>IF(Pay_Num&lt;&gt;"",Scheduled_Monthly_Payment,"")</f>
        <v>71560.087675010276</v>
      </c>
      <c r="E325" s="71">
        <f>IF(AND(Pay_Num&lt;&gt;"",Sched_Pay+Scheduled_Extra_Payments&lt;Beg_Bal),Scheduled_Extra_Payments,IF(AND(Pay_Num&lt;&gt;"",Beg_Bal-Sched_Pay&gt;0),Beg_Bal-Sched_Pay,IF(Pay_Num&lt;&gt;"",0,"")))</f>
        <v>0</v>
      </c>
      <c r="F325" s="70">
        <f>IF(AND(Pay_Num&lt;&gt;"",Sched_Pay+Extra_Pay&lt;Beg_Bal),Sched_Pay+Extra_Pay,IF(Pay_Num&lt;&gt;"",Beg_Bal,""))</f>
        <v>0</v>
      </c>
      <c r="G325" s="70">
        <f>IF(Pay_Num&lt;&gt;"",Total_Pay-Int,"")</f>
        <v>0</v>
      </c>
      <c r="H325" s="70">
        <f>IF(Pay_Num&lt;&gt;"",Beg_Bal*Interest_Rate/Num_Pmt_Per_Year,"")</f>
        <v>0</v>
      </c>
      <c r="I325" s="70">
        <f>IF(AND(Pay_Num&lt;&gt;"",Sched_Pay+Extra_Pay&lt;Beg_Bal),Beg_Bal-Princ,IF(Pay_Num&lt;&gt;"",0,""))</f>
        <v>0</v>
      </c>
      <c r="J325" s="70">
        <f>SUM($H$18:$H325)</f>
        <v>431201.75350020552</v>
      </c>
    </row>
    <row r="326" spans="1:10" x14ac:dyDescent="0.3">
      <c r="A326" s="36">
        <f>IF(Values_Entered,A325+1,"")</f>
        <v>309</v>
      </c>
      <c r="B326" s="35">
        <f>IF(Pay_Num&lt;&gt;"",DATE(YEAR(Loan_Start),MONTH(Loan_Start)+(Pay_Num)*12/Num_Pmt_Per_Year,DAY(Loan_Start)),"")</f>
        <v>74400</v>
      </c>
      <c r="C326" s="70">
        <f>IF(Pay_Num&lt;&gt;"",I325,"")</f>
        <v>0</v>
      </c>
      <c r="D326" s="70">
        <f>IF(Pay_Num&lt;&gt;"",Scheduled_Monthly_Payment,"")</f>
        <v>71560.087675010276</v>
      </c>
      <c r="E326" s="71">
        <f>IF(AND(Pay_Num&lt;&gt;"",Sched_Pay+Scheduled_Extra_Payments&lt;Beg_Bal),Scheduled_Extra_Payments,IF(AND(Pay_Num&lt;&gt;"",Beg_Bal-Sched_Pay&gt;0),Beg_Bal-Sched_Pay,IF(Pay_Num&lt;&gt;"",0,"")))</f>
        <v>0</v>
      </c>
      <c r="F326" s="70">
        <f>IF(AND(Pay_Num&lt;&gt;"",Sched_Pay+Extra_Pay&lt;Beg_Bal),Sched_Pay+Extra_Pay,IF(Pay_Num&lt;&gt;"",Beg_Bal,""))</f>
        <v>0</v>
      </c>
      <c r="G326" s="70">
        <f>IF(Pay_Num&lt;&gt;"",Total_Pay-Int,"")</f>
        <v>0</v>
      </c>
      <c r="H326" s="70">
        <f>IF(Pay_Num&lt;&gt;"",Beg_Bal*Interest_Rate/Num_Pmt_Per_Year,"")</f>
        <v>0</v>
      </c>
      <c r="I326" s="70">
        <f>IF(AND(Pay_Num&lt;&gt;"",Sched_Pay+Extra_Pay&lt;Beg_Bal),Beg_Bal-Princ,IF(Pay_Num&lt;&gt;"",0,""))</f>
        <v>0</v>
      </c>
      <c r="J326" s="70">
        <f>SUM($H$18:$H326)</f>
        <v>431201.75350020552</v>
      </c>
    </row>
    <row r="327" spans="1:10" x14ac:dyDescent="0.3">
      <c r="A327" s="36">
        <f>IF(Values_Entered,A326+1,"")</f>
        <v>310</v>
      </c>
      <c r="B327" s="35">
        <f>IF(Pay_Num&lt;&gt;"",DATE(YEAR(Loan_Start),MONTH(Loan_Start)+(Pay_Num)*12/Num_Pmt_Per_Year,DAY(Loan_Start)),"")</f>
        <v>74491</v>
      </c>
      <c r="C327" s="70">
        <f>IF(Pay_Num&lt;&gt;"",I326,"")</f>
        <v>0</v>
      </c>
      <c r="D327" s="70">
        <f>IF(Pay_Num&lt;&gt;"",Scheduled_Monthly_Payment,"")</f>
        <v>71560.087675010276</v>
      </c>
      <c r="E327" s="71">
        <f>IF(AND(Pay_Num&lt;&gt;"",Sched_Pay+Scheduled_Extra_Payments&lt;Beg_Bal),Scheduled_Extra_Payments,IF(AND(Pay_Num&lt;&gt;"",Beg_Bal-Sched_Pay&gt;0),Beg_Bal-Sched_Pay,IF(Pay_Num&lt;&gt;"",0,"")))</f>
        <v>0</v>
      </c>
      <c r="F327" s="70">
        <f>IF(AND(Pay_Num&lt;&gt;"",Sched_Pay+Extra_Pay&lt;Beg_Bal),Sched_Pay+Extra_Pay,IF(Pay_Num&lt;&gt;"",Beg_Bal,""))</f>
        <v>0</v>
      </c>
      <c r="G327" s="70">
        <f>IF(Pay_Num&lt;&gt;"",Total_Pay-Int,"")</f>
        <v>0</v>
      </c>
      <c r="H327" s="70">
        <f>IF(Pay_Num&lt;&gt;"",Beg_Bal*Interest_Rate/Num_Pmt_Per_Year,"")</f>
        <v>0</v>
      </c>
      <c r="I327" s="70">
        <f>IF(AND(Pay_Num&lt;&gt;"",Sched_Pay+Extra_Pay&lt;Beg_Bal),Beg_Bal-Princ,IF(Pay_Num&lt;&gt;"",0,""))</f>
        <v>0</v>
      </c>
      <c r="J327" s="70">
        <f>SUM($H$18:$H327)</f>
        <v>431201.75350020552</v>
      </c>
    </row>
    <row r="328" spans="1:10" x14ac:dyDescent="0.3">
      <c r="A328" s="36">
        <f>IF(Values_Entered,A327+1,"")</f>
        <v>311</v>
      </c>
      <c r="B328" s="35">
        <f>IF(Pay_Num&lt;&gt;"",DATE(YEAR(Loan_Start),MONTH(Loan_Start)+(Pay_Num)*12/Num_Pmt_Per_Year,DAY(Loan_Start)),"")</f>
        <v>74582</v>
      </c>
      <c r="C328" s="70">
        <f>IF(Pay_Num&lt;&gt;"",I327,"")</f>
        <v>0</v>
      </c>
      <c r="D328" s="70">
        <f>IF(Pay_Num&lt;&gt;"",Scheduled_Monthly_Payment,"")</f>
        <v>71560.087675010276</v>
      </c>
      <c r="E328" s="71">
        <f>IF(AND(Pay_Num&lt;&gt;"",Sched_Pay+Scheduled_Extra_Payments&lt;Beg_Bal),Scheduled_Extra_Payments,IF(AND(Pay_Num&lt;&gt;"",Beg_Bal-Sched_Pay&gt;0),Beg_Bal-Sched_Pay,IF(Pay_Num&lt;&gt;"",0,"")))</f>
        <v>0</v>
      </c>
      <c r="F328" s="70">
        <f>IF(AND(Pay_Num&lt;&gt;"",Sched_Pay+Extra_Pay&lt;Beg_Bal),Sched_Pay+Extra_Pay,IF(Pay_Num&lt;&gt;"",Beg_Bal,""))</f>
        <v>0</v>
      </c>
      <c r="G328" s="70">
        <f>IF(Pay_Num&lt;&gt;"",Total_Pay-Int,"")</f>
        <v>0</v>
      </c>
      <c r="H328" s="70">
        <f>IF(Pay_Num&lt;&gt;"",Beg_Bal*Interest_Rate/Num_Pmt_Per_Year,"")</f>
        <v>0</v>
      </c>
      <c r="I328" s="70">
        <f>IF(AND(Pay_Num&lt;&gt;"",Sched_Pay+Extra_Pay&lt;Beg_Bal),Beg_Bal-Princ,IF(Pay_Num&lt;&gt;"",0,""))</f>
        <v>0</v>
      </c>
      <c r="J328" s="70">
        <f>SUM($H$18:$H328)</f>
        <v>431201.75350020552</v>
      </c>
    </row>
    <row r="329" spans="1:10" x14ac:dyDescent="0.3">
      <c r="A329" s="36">
        <f>IF(Values_Entered,A328+1,"")</f>
        <v>312</v>
      </c>
      <c r="B329" s="35">
        <f>IF(Pay_Num&lt;&gt;"",DATE(YEAR(Loan_Start),MONTH(Loan_Start)+(Pay_Num)*12/Num_Pmt_Per_Year,DAY(Loan_Start)),"")</f>
        <v>74674</v>
      </c>
      <c r="C329" s="70">
        <f>IF(Pay_Num&lt;&gt;"",I328,"")</f>
        <v>0</v>
      </c>
      <c r="D329" s="70">
        <f>IF(Pay_Num&lt;&gt;"",Scheduled_Monthly_Payment,"")</f>
        <v>71560.087675010276</v>
      </c>
      <c r="E329" s="71">
        <f>IF(AND(Pay_Num&lt;&gt;"",Sched_Pay+Scheduled_Extra_Payments&lt;Beg_Bal),Scheduled_Extra_Payments,IF(AND(Pay_Num&lt;&gt;"",Beg_Bal-Sched_Pay&gt;0),Beg_Bal-Sched_Pay,IF(Pay_Num&lt;&gt;"",0,"")))</f>
        <v>0</v>
      </c>
      <c r="F329" s="70">
        <f>IF(AND(Pay_Num&lt;&gt;"",Sched_Pay+Extra_Pay&lt;Beg_Bal),Sched_Pay+Extra_Pay,IF(Pay_Num&lt;&gt;"",Beg_Bal,""))</f>
        <v>0</v>
      </c>
      <c r="G329" s="70">
        <f>IF(Pay_Num&lt;&gt;"",Total_Pay-Int,"")</f>
        <v>0</v>
      </c>
      <c r="H329" s="70">
        <f>IF(Pay_Num&lt;&gt;"",Beg_Bal*Interest_Rate/Num_Pmt_Per_Year,"")</f>
        <v>0</v>
      </c>
      <c r="I329" s="70">
        <f>IF(AND(Pay_Num&lt;&gt;"",Sched_Pay+Extra_Pay&lt;Beg_Bal),Beg_Bal-Princ,IF(Pay_Num&lt;&gt;"",0,""))</f>
        <v>0</v>
      </c>
      <c r="J329" s="70">
        <f>SUM($H$18:$H329)</f>
        <v>431201.75350020552</v>
      </c>
    </row>
    <row r="330" spans="1:10" x14ac:dyDescent="0.3">
      <c r="A330" s="36">
        <f>IF(Values_Entered,A329+1,"")</f>
        <v>313</v>
      </c>
      <c r="B330" s="35">
        <f>IF(Pay_Num&lt;&gt;"",DATE(YEAR(Loan_Start),MONTH(Loan_Start)+(Pay_Num)*12/Num_Pmt_Per_Year,DAY(Loan_Start)),"")</f>
        <v>74766</v>
      </c>
      <c r="C330" s="70">
        <f>IF(Pay_Num&lt;&gt;"",I329,"")</f>
        <v>0</v>
      </c>
      <c r="D330" s="70">
        <f>IF(Pay_Num&lt;&gt;"",Scheduled_Monthly_Payment,"")</f>
        <v>71560.087675010276</v>
      </c>
      <c r="E330" s="71">
        <f>IF(AND(Pay_Num&lt;&gt;"",Sched_Pay+Scheduled_Extra_Payments&lt;Beg_Bal),Scheduled_Extra_Payments,IF(AND(Pay_Num&lt;&gt;"",Beg_Bal-Sched_Pay&gt;0),Beg_Bal-Sched_Pay,IF(Pay_Num&lt;&gt;"",0,"")))</f>
        <v>0</v>
      </c>
      <c r="F330" s="70">
        <f>IF(AND(Pay_Num&lt;&gt;"",Sched_Pay+Extra_Pay&lt;Beg_Bal),Sched_Pay+Extra_Pay,IF(Pay_Num&lt;&gt;"",Beg_Bal,""))</f>
        <v>0</v>
      </c>
      <c r="G330" s="70">
        <f>IF(Pay_Num&lt;&gt;"",Total_Pay-Int,"")</f>
        <v>0</v>
      </c>
      <c r="H330" s="70">
        <f>IF(Pay_Num&lt;&gt;"",Beg_Bal*Interest_Rate/Num_Pmt_Per_Year,"")</f>
        <v>0</v>
      </c>
      <c r="I330" s="70">
        <f>IF(AND(Pay_Num&lt;&gt;"",Sched_Pay+Extra_Pay&lt;Beg_Bal),Beg_Bal-Princ,IF(Pay_Num&lt;&gt;"",0,""))</f>
        <v>0</v>
      </c>
      <c r="J330" s="70">
        <f>SUM($H$18:$H330)</f>
        <v>431201.75350020552</v>
      </c>
    </row>
    <row r="331" spans="1:10" x14ac:dyDescent="0.3">
      <c r="A331" s="36">
        <f>IF(Values_Entered,A330+1,"")</f>
        <v>314</v>
      </c>
      <c r="B331" s="35">
        <f>IF(Pay_Num&lt;&gt;"",DATE(YEAR(Loan_Start),MONTH(Loan_Start)+(Pay_Num)*12/Num_Pmt_Per_Year,DAY(Loan_Start)),"")</f>
        <v>74857</v>
      </c>
      <c r="C331" s="70">
        <f>IF(Pay_Num&lt;&gt;"",I330,"")</f>
        <v>0</v>
      </c>
      <c r="D331" s="70">
        <f>IF(Pay_Num&lt;&gt;"",Scheduled_Monthly_Payment,"")</f>
        <v>71560.087675010276</v>
      </c>
      <c r="E331" s="71">
        <f>IF(AND(Pay_Num&lt;&gt;"",Sched_Pay+Scheduled_Extra_Payments&lt;Beg_Bal),Scheduled_Extra_Payments,IF(AND(Pay_Num&lt;&gt;"",Beg_Bal-Sched_Pay&gt;0),Beg_Bal-Sched_Pay,IF(Pay_Num&lt;&gt;"",0,"")))</f>
        <v>0</v>
      </c>
      <c r="F331" s="70">
        <f>IF(AND(Pay_Num&lt;&gt;"",Sched_Pay+Extra_Pay&lt;Beg_Bal),Sched_Pay+Extra_Pay,IF(Pay_Num&lt;&gt;"",Beg_Bal,""))</f>
        <v>0</v>
      </c>
      <c r="G331" s="70">
        <f>IF(Pay_Num&lt;&gt;"",Total_Pay-Int,"")</f>
        <v>0</v>
      </c>
      <c r="H331" s="70">
        <f>IF(Pay_Num&lt;&gt;"",Beg_Bal*Interest_Rate/Num_Pmt_Per_Year,"")</f>
        <v>0</v>
      </c>
      <c r="I331" s="70">
        <f>IF(AND(Pay_Num&lt;&gt;"",Sched_Pay+Extra_Pay&lt;Beg_Bal),Beg_Bal-Princ,IF(Pay_Num&lt;&gt;"",0,""))</f>
        <v>0</v>
      </c>
      <c r="J331" s="70">
        <f>SUM($H$18:$H331)</f>
        <v>431201.75350020552</v>
      </c>
    </row>
    <row r="332" spans="1:10" x14ac:dyDescent="0.3">
      <c r="A332" s="36">
        <f>IF(Values_Entered,A331+1,"")</f>
        <v>315</v>
      </c>
      <c r="B332" s="35">
        <f>IF(Pay_Num&lt;&gt;"",DATE(YEAR(Loan_Start),MONTH(Loan_Start)+(Pay_Num)*12/Num_Pmt_Per_Year,DAY(Loan_Start)),"")</f>
        <v>74947</v>
      </c>
      <c r="C332" s="70">
        <f>IF(Pay_Num&lt;&gt;"",I331,"")</f>
        <v>0</v>
      </c>
      <c r="D332" s="70">
        <f>IF(Pay_Num&lt;&gt;"",Scheduled_Monthly_Payment,"")</f>
        <v>71560.087675010276</v>
      </c>
      <c r="E332" s="71">
        <f>IF(AND(Pay_Num&lt;&gt;"",Sched_Pay+Scheduled_Extra_Payments&lt;Beg_Bal),Scheduled_Extra_Payments,IF(AND(Pay_Num&lt;&gt;"",Beg_Bal-Sched_Pay&gt;0),Beg_Bal-Sched_Pay,IF(Pay_Num&lt;&gt;"",0,"")))</f>
        <v>0</v>
      </c>
      <c r="F332" s="70">
        <f>IF(AND(Pay_Num&lt;&gt;"",Sched_Pay+Extra_Pay&lt;Beg_Bal),Sched_Pay+Extra_Pay,IF(Pay_Num&lt;&gt;"",Beg_Bal,""))</f>
        <v>0</v>
      </c>
      <c r="G332" s="70">
        <f>IF(Pay_Num&lt;&gt;"",Total_Pay-Int,"")</f>
        <v>0</v>
      </c>
      <c r="H332" s="70">
        <f>IF(Pay_Num&lt;&gt;"",Beg_Bal*Interest_Rate/Num_Pmt_Per_Year,"")</f>
        <v>0</v>
      </c>
      <c r="I332" s="70">
        <f>IF(AND(Pay_Num&lt;&gt;"",Sched_Pay+Extra_Pay&lt;Beg_Bal),Beg_Bal-Princ,IF(Pay_Num&lt;&gt;"",0,""))</f>
        <v>0</v>
      </c>
      <c r="J332" s="70">
        <f>SUM($H$18:$H332)</f>
        <v>431201.75350020552</v>
      </c>
    </row>
    <row r="333" spans="1:10" x14ac:dyDescent="0.3">
      <c r="A333" s="36">
        <f>IF(Values_Entered,A332+1,"")</f>
        <v>316</v>
      </c>
      <c r="B333" s="35">
        <f>IF(Pay_Num&lt;&gt;"",DATE(YEAR(Loan_Start),MONTH(Loan_Start)+(Pay_Num)*12/Num_Pmt_Per_Year,DAY(Loan_Start)),"")</f>
        <v>75039</v>
      </c>
      <c r="C333" s="70">
        <f>IF(Pay_Num&lt;&gt;"",I332,"")</f>
        <v>0</v>
      </c>
      <c r="D333" s="70">
        <f>IF(Pay_Num&lt;&gt;"",Scheduled_Monthly_Payment,"")</f>
        <v>71560.087675010276</v>
      </c>
      <c r="E333" s="71">
        <f>IF(AND(Pay_Num&lt;&gt;"",Sched_Pay+Scheduled_Extra_Payments&lt;Beg_Bal),Scheduled_Extra_Payments,IF(AND(Pay_Num&lt;&gt;"",Beg_Bal-Sched_Pay&gt;0),Beg_Bal-Sched_Pay,IF(Pay_Num&lt;&gt;"",0,"")))</f>
        <v>0</v>
      </c>
      <c r="F333" s="70">
        <f>IF(AND(Pay_Num&lt;&gt;"",Sched_Pay+Extra_Pay&lt;Beg_Bal),Sched_Pay+Extra_Pay,IF(Pay_Num&lt;&gt;"",Beg_Bal,""))</f>
        <v>0</v>
      </c>
      <c r="G333" s="70">
        <f>IF(Pay_Num&lt;&gt;"",Total_Pay-Int,"")</f>
        <v>0</v>
      </c>
      <c r="H333" s="70">
        <f>IF(Pay_Num&lt;&gt;"",Beg_Bal*Interest_Rate/Num_Pmt_Per_Year,"")</f>
        <v>0</v>
      </c>
      <c r="I333" s="70">
        <f>IF(AND(Pay_Num&lt;&gt;"",Sched_Pay+Extra_Pay&lt;Beg_Bal),Beg_Bal-Princ,IF(Pay_Num&lt;&gt;"",0,""))</f>
        <v>0</v>
      </c>
      <c r="J333" s="70">
        <f>SUM($H$18:$H333)</f>
        <v>431201.75350020552</v>
      </c>
    </row>
    <row r="334" spans="1:10" x14ac:dyDescent="0.3">
      <c r="A334" s="36">
        <f>IF(Values_Entered,A333+1,"")</f>
        <v>317</v>
      </c>
      <c r="B334" s="35">
        <f>IF(Pay_Num&lt;&gt;"",DATE(YEAR(Loan_Start),MONTH(Loan_Start)+(Pay_Num)*12/Num_Pmt_Per_Year,DAY(Loan_Start)),"")</f>
        <v>75131</v>
      </c>
      <c r="C334" s="70">
        <f>IF(Pay_Num&lt;&gt;"",I333,"")</f>
        <v>0</v>
      </c>
      <c r="D334" s="70">
        <f>IF(Pay_Num&lt;&gt;"",Scheduled_Monthly_Payment,"")</f>
        <v>71560.087675010276</v>
      </c>
      <c r="E334" s="71">
        <f>IF(AND(Pay_Num&lt;&gt;"",Sched_Pay+Scheduled_Extra_Payments&lt;Beg_Bal),Scheduled_Extra_Payments,IF(AND(Pay_Num&lt;&gt;"",Beg_Bal-Sched_Pay&gt;0),Beg_Bal-Sched_Pay,IF(Pay_Num&lt;&gt;"",0,"")))</f>
        <v>0</v>
      </c>
      <c r="F334" s="70">
        <f>IF(AND(Pay_Num&lt;&gt;"",Sched_Pay+Extra_Pay&lt;Beg_Bal),Sched_Pay+Extra_Pay,IF(Pay_Num&lt;&gt;"",Beg_Bal,""))</f>
        <v>0</v>
      </c>
      <c r="G334" s="70">
        <f>IF(Pay_Num&lt;&gt;"",Total_Pay-Int,"")</f>
        <v>0</v>
      </c>
      <c r="H334" s="70">
        <f>IF(Pay_Num&lt;&gt;"",Beg_Bal*Interest_Rate/Num_Pmt_Per_Year,"")</f>
        <v>0</v>
      </c>
      <c r="I334" s="70">
        <f>IF(AND(Pay_Num&lt;&gt;"",Sched_Pay+Extra_Pay&lt;Beg_Bal),Beg_Bal-Princ,IF(Pay_Num&lt;&gt;"",0,""))</f>
        <v>0</v>
      </c>
      <c r="J334" s="70">
        <f>SUM($H$18:$H334)</f>
        <v>431201.75350020552</v>
      </c>
    </row>
    <row r="335" spans="1:10" x14ac:dyDescent="0.3">
      <c r="A335" s="36">
        <f>IF(Values_Entered,A334+1,"")</f>
        <v>318</v>
      </c>
      <c r="B335" s="35">
        <f>IF(Pay_Num&lt;&gt;"",DATE(YEAR(Loan_Start),MONTH(Loan_Start)+(Pay_Num)*12/Num_Pmt_Per_Year,DAY(Loan_Start)),"")</f>
        <v>75222</v>
      </c>
      <c r="C335" s="70">
        <f>IF(Pay_Num&lt;&gt;"",I334,"")</f>
        <v>0</v>
      </c>
      <c r="D335" s="70">
        <f>IF(Pay_Num&lt;&gt;"",Scheduled_Monthly_Payment,"")</f>
        <v>71560.087675010276</v>
      </c>
      <c r="E335" s="71">
        <f>IF(AND(Pay_Num&lt;&gt;"",Sched_Pay+Scheduled_Extra_Payments&lt;Beg_Bal),Scheduled_Extra_Payments,IF(AND(Pay_Num&lt;&gt;"",Beg_Bal-Sched_Pay&gt;0),Beg_Bal-Sched_Pay,IF(Pay_Num&lt;&gt;"",0,"")))</f>
        <v>0</v>
      </c>
      <c r="F335" s="70">
        <f>IF(AND(Pay_Num&lt;&gt;"",Sched_Pay+Extra_Pay&lt;Beg_Bal),Sched_Pay+Extra_Pay,IF(Pay_Num&lt;&gt;"",Beg_Bal,""))</f>
        <v>0</v>
      </c>
      <c r="G335" s="70">
        <f>IF(Pay_Num&lt;&gt;"",Total_Pay-Int,"")</f>
        <v>0</v>
      </c>
      <c r="H335" s="70">
        <f>IF(Pay_Num&lt;&gt;"",Beg_Bal*Interest_Rate/Num_Pmt_Per_Year,"")</f>
        <v>0</v>
      </c>
      <c r="I335" s="70">
        <f>IF(AND(Pay_Num&lt;&gt;"",Sched_Pay+Extra_Pay&lt;Beg_Bal),Beg_Bal-Princ,IF(Pay_Num&lt;&gt;"",0,""))</f>
        <v>0</v>
      </c>
      <c r="J335" s="70">
        <f>SUM($H$18:$H335)</f>
        <v>431201.75350020552</v>
      </c>
    </row>
    <row r="336" spans="1:10" x14ac:dyDescent="0.3">
      <c r="A336" s="36">
        <f>IF(Values_Entered,A335+1,"")</f>
        <v>319</v>
      </c>
      <c r="B336" s="35">
        <f>IF(Pay_Num&lt;&gt;"",DATE(YEAR(Loan_Start),MONTH(Loan_Start)+(Pay_Num)*12/Num_Pmt_Per_Year,DAY(Loan_Start)),"")</f>
        <v>75312</v>
      </c>
      <c r="C336" s="70">
        <f>IF(Pay_Num&lt;&gt;"",I335,"")</f>
        <v>0</v>
      </c>
      <c r="D336" s="70">
        <f>IF(Pay_Num&lt;&gt;"",Scheduled_Monthly_Payment,"")</f>
        <v>71560.087675010276</v>
      </c>
      <c r="E336" s="71">
        <f>IF(AND(Pay_Num&lt;&gt;"",Sched_Pay+Scheduled_Extra_Payments&lt;Beg_Bal),Scheduled_Extra_Payments,IF(AND(Pay_Num&lt;&gt;"",Beg_Bal-Sched_Pay&gt;0),Beg_Bal-Sched_Pay,IF(Pay_Num&lt;&gt;"",0,"")))</f>
        <v>0</v>
      </c>
      <c r="F336" s="70">
        <f>IF(AND(Pay_Num&lt;&gt;"",Sched_Pay+Extra_Pay&lt;Beg_Bal),Sched_Pay+Extra_Pay,IF(Pay_Num&lt;&gt;"",Beg_Bal,""))</f>
        <v>0</v>
      </c>
      <c r="G336" s="70">
        <f>IF(Pay_Num&lt;&gt;"",Total_Pay-Int,"")</f>
        <v>0</v>
      </c>
      <c r="H336" s="70">
        <f>IF(Pay_Num&lt;&gt;"",Beg_Bal*Interest_Rate/Num_Pmt_Per_Year,"")</f>
        <v>0</v>
      </c>
      <c r="I336" s="70">
        <f>IF(AND(Pay_Num&lt;&gt;"",Sched_Pay+Extra_Pay&lt;Beg_Bal),Beg_Bal-Princ,IF(Pay_Num&lt;&gt;"",0,""))</f>
        <v>0</v>
      </c>
      <c r="J336" s="70">
        <f>SUM($H$18:$H336)</f>
        <v>431201.75350020552</v>
      </c>
    </row>
    <row r="337" spans="1:10" x14ac:dyDescent="0.3">
      <c r="A337" s="36">
        <f>IF(Values_Entered,A336+1,"")</f>
        <v>320</v>
      </c>
      <c r="B337" s="35">
        <f>IF(Pay_Num&lt;&gt;"",DATE(YEAR(Loan_Start),MONTH(Loan_Start)+(Pay_Num)*12/Num_Pmt_Per_Year,DAY(Loan_Start)),"")</f>
        <v>75404</v>
      </c>
      <c r="C337" s="70">
        <f>IF(Pay_Num&lt;&gt;"",I336,"")</f>
        <v>0</v>
      </c>
      <c r="D337" s="70">
        <f>IF(Pay_Num&lt;&gt;"",Scheduled_Monthly_Payment,"")</f>
        <v>71560.087675010276</v>
      </c>
      <c r="E337" s="71">
        <f>IF(AND(Pay_Num&lt;&gt;"",Sched_Pay+Scheduled_Extra_Payments&lt;Beg_Bal),Scheduled_Extra_Payments,IF(AND(Pay_Num&lt;&gt;"",Beg_Bal-Sched_Pay&gt;0),Beg_Bal-Sched_Pay,IF(Pay_Num&lt;&gt;"",0,"")))</f>
        <v>0</v>
      </c>
      <c r="F337" s="70">
        <f>IF(AND(Pay_Num&lt;&gt;"",Sched_Pay+Extra_Pay&lt;Beg_Bal),Sched_Pay+Extra_Pay,IF(Pay_Num&lt;&gt;"",Beg_Bal,""))</f>
        <v>0</v>
      </c>
      <c r="G337" s="70">
        <f>IF(Pay_Num&lt;&gt;"",Total_Pay-Int,"")</f>
        <v>0</v>
      </c>
      <c r="H337" s="70">
        <f>IF(Pay_Num&lt;&gt;"",Beg_Bal*Interest_Rate/Num_Pmt_Per_Year,"")</f>
        <v>0</v>
      </c>
      <c r="I337" s="70">
        <f>IF(AND(Pay_Num&lt;&gt;"",Sched_Pay+Extra_Pay&lt;Beg_Bal),Beg_Bal-Princ,IF(Pay_Num&lt;&gt;"",0,""))</f>
        <v>0</v>
      </c>
      <c r="J337" s="70">
        <f>SUM($H$18:$H337)</f>
        <v>431201.75350020552</v>
      </c>
    </row>
    <row r="338" spans="1:10" x14ac:dyDescent="0.3">
      <c r="A338" s="36">
        <f>IF(Values_Entered,A337+1,"")</f>
        <v>321</v>
      </c>
      <c r="B338" s="35">
        <f>IF(Pay_Num&lt;&gt;"",DATE(YEAR(Loan_Start),MONTH(Loan_Start)+(Pay_Num)*12/Num_Pmt_Per_Year,DAY(Loan_Start)),"")</f>
        <v>75496</v>
      </c>
      <c r="C338" s="70">
        <f>IF(Pay_Num&lt;&gt;"",I337,"")</f>
        <v>0</v>
      </c>
      <c r="D338" s="70">
        <f>IF(Pay_Num&lt;&gt;"",Scheduled_Monthly_Payment,"")</f>
        <v>71560.087675010276</v>
      </c>
      <c r="E338" s="71">
        <f>IF(AND(Pay_Num&lt;&gt;"",Sched_Pay+Scheduled_Extra_Payments&lt;Beg_Bal),Scheduled_Extra_Payments,IF(AND(Pay_Num&lt;&gt;"",Beg_Bal-Sched_Pay&gt;0),Beg_Bal-Sched_Pay,IF(Pay_Num&lt;&gt;"",0,"")))</f>
        <v>0</v>
      </c>
      <c r="F338" s="70">
        <f>IF(AND(Pay_Num&lt;&gt;"",Sched_Pay+Extra_Pay&lt;Beg_Bal),Sched_Pay+Extra_Pay,IF(Pay_Num&lt;&gt;"",Beg_Bal,""))</f>
        <v>0</v>
      </c>
      <c r="G338" s="70">
        <f>IF(Pay_Num&lt;&gt;"",Total_Pay-Int,"")</f>
        <v>0</v>
      </c>
      <c r="H338" s="70">
        <f>IF(Pay_Num&lt;&gt;"",Beg_Bal*Interest_Rate/Num_Pmt_Per_Year,"")</f>
        <v>0</v>
      </c>
      <c r="I338" s="70">
        <f>IF(AND(Pay_Num&lt;&gt;"",Sched_Pay+Extra_Pay&lt;Beg_Bal),Beg_Bal-Princ,IF(Pay_Num&lt;&gt;"",0,""))</f>
        <v>0</v>
      </c>
      <c r="J338" s="70">
        <f>SUM($H$18:$H338)</f>
        <v>431201.75350020552</v>
      </c>
    </row>
    <row r="339" spans="1:10" x14ac:dyDescent="0.3">
      <c r="A339" s="36">
        <f>IF(Values_Entered,A338+1,"")</f>
        <v>322</v>
      </c>
      <c r="B339" s="35">
        <f>IF(Pay_Num&lt;&gt;"",DATE(YEAR(Loan_Start),MONTH(Loan_Start)+(Pay_Num)*12/Num_Pmt_Per_Year,DAY(Loan_Start)),"")</f>
        <v>75587</v>
      </c>
      <c r="C339" s="70">
        <f>IF(Pay_Num&lt;&gt;"",I338,"")</f>
        <v>0</v>
      </c>
      <c r="D339" s="70">
        <f>IF(Pay_Num&lt;&gt;"",Scheduled_Monthly_Payment,"")</f>
        <v>71560.087675010276</v>
      </c>
      <c r="E339" s="71">
        <f>IF(AND(Pay_Num&lt;&gt;"",Sched_Pay+Scheduled_Extra_Payments&lt;Beg_Bal),Scheduled_Extra_Payments,IF(AND(Pay_Num&lt;&gt;"",Beg_Bal-Sched_Pay&gt;0),Beg_Bal-Sched_Pay,IF(Pay_Num&lt;&gt;"",0,"")))</f>
        <v>0</v>
      </c>
      <c r="F339" s="70">
        <f>IF(AND(Pay_Num&lt;&gt;"",Sched_Pay+Extra_Pay&lt;Beg_Bal),Sched_Pay+Extra_Pay,IF(Pay_Num&lt;&gt;"",Beg_Bal,""))</f>
        <v>0</v>
      </c>
      <c r="G339" s="70">
        <f>IF(Pay_Num&lt;&gt;"",Total_Pay-Int,"")</f>
        <v>0</v>
      </c>
      <c r="H339" s="70">
        <f>IF(Pay_Num&lt;&gt;"",Beg_Bal*Interest_Rate/Num_Pmt_Per_Year,"")</f>
        <v>0</v>
      </c>
      <c r="I339" s="70">
        <f>IF(AND(Pay_Num&lt;&gt;"",Sched_Pay+Extra_Pay&lt;Beg_Bal),Beg_Bal-Princ,IF(Pay_Num&lt;&gt;"",0,""))</f>
        <v>0</v>
      </c>
      <c r="J339" s="70">
        <f>SUM($H$18:$H339)</f>
        <v>431201.75350020552</v>
      </c>
    </row>
    <row r="340" spans="1:10" x14ac:dyDescent="0.3">
      <c r="A340" s="36">
        <f>IF(Values_Entered,A339+1,"")</f>
        <v>323</v>
      </c>
      <c r="B340" s="35">
        <f>IF(Pay_Num&lt;&gt;"",DATE(YEAR(Loan_Start),MONTH(Loan_Start)+(Pay_Num)*12/Num_Pmt_Per_Year,DAY(Loan_Start)),"")</f>
        <v>75677</v>
      </c>
      <c r="C340" s="70">
        <f>IF(Pay_Num&lt;&gt;"",I339,"")</f>
        <v>0</v>
      </c>
      <c r="D340" s="70">
        <f>IF(Pay_Num&lt;&gt;"",Scheduled_Monthly_Payment,"")</f>
        <v>71560.087675010276</v>
      </c>
      <c r="E340" s="71">
        <f>IF(AND(Pay_Num&lt;&gt;"",Sched_Pay+Scheduled_Extra_Payments&lt;Beg_Bal),Scheduled_Extra_Payments,IF(AND(Pay_Num&lt;&gt;"",Beg_Bal-Sched_Pay&gt;0),Beg_Bal-Sched_Pay,IF(Pay_Num&lt;&gt;"",0,"")))</f>
        <v>0</v>
      </c>
      <c r="F340" s="70">
        <f>IF(AND(Pay_Num&lt;&gt;"",Sched_Pay+Extra_Pay&lt;Beg_Bal),Sched_Pay+Extra_Pay,IF(Pay_Num&lt;&gt;"",Beg_Bal,""))</f>
        <v>0</v>
      </c>
      <c r="G340" s="70">
        <f>IF(Pay_Num&lt;&gt;"",Total_Pay-Int,"")</f>
        <v>0</v>
      </c>
      <c r="H340" s="70">
        <f>IF(Pay_Num&lt;&gt;"",Beg_Bal*Interest_Rate/Num_Pmt_Per_Year,"")</f>
        <v>0</v>
      </c>
      <c r="I340" s="70">
        <f>IF(AND(Pay_Num&lt;&gt;"",Sched_Pay+Extra_Pay&lt;Beg_Bal),Beg_Bal-Princ,IF(Pay_Num&lt;&gt;"",0,""))</f>
        <v>0</v>
      </c>
      <c r="J340" s="70">
        <f>SUM($H$18:$H340)</f>
        <v>431201.75350020552</v>
      </c>
    </row>
    <row r="341" spans="1:10" x14ac:dyDescent="0.3">
      <c r="A341" s="36">
        <f>IF(Values_Entered,A340+1,"")</f>
        <v>324</v>
      </c>
      <c r="B341" s="35">
        <f>IF(Pay_Num&lt;&gt;"",DATE(YEAR(Loan_Start),MONTH(Loan_Start)+(Pay_Num)*12/Num_Pmt_Per_Year,DAY(Loan_Start)),"")</f>
        <v>75769</v>
      </c>
      <c r="C341" s="70">
        <f>IF(Pay_Num&lt;&gt;"",I340,"")</f>
        <v>0</v>
      </c>
      <c r="D341" s="70">
        <f>IF(Pay_Num&lt;&gt;"",Scheduled_Monthly_Payment,"")</f>
        <v>71560.087675010276</v>
      </c>
      <c r="E341" s="71">
        <f>IF(AND(Pay_Num&lt;&gt;"",Sched_Pay+Scheduled_Extra_Payments&lt;Beg_Bal),Scheduled_Extra_Payments,IF(AND(Pay_Num&lt;&gt;"",Beg_Bal-Sched_Pay&gt;0),Beg_Bal-Sched_Pay,IF(Pay_Num&lt;&gt;"",0,"")))</f>
        <v>0</v>
      </c>
      <c r="F341" s="70">
        <f>IF(AND(Pay_Num&lt;&gt;"",Sched_Pay+Extra_Pay&lt;Beg_Bal),Sched_Pay+Extra_Pay,IF(Pay_Num&lt;&gt;"",Beg_Bal,""))</f>
        <v>0</v>
      </c>
      <c r="G341" s="70">
        <f>IF(Pay_Num&lt;&gt;"",Total_Pay-Int,"")</f>
        <v>0</v>
      </c>
      <c r="H341" s="70">
        <f>IF(Pay_Num&lt;&gt;"",Beg_Bal*Interest_Rate/Num_Pmt_Per_Year,"")</f>
        <v>0</v>
      </c>
      <c r="I341" s="70">
        <f>IF(AND(Pay_Num&lt;&gt;"",Sched_Pay+Extra_Pay&lt;Beg_Bal),Beg_Bal-Princ,IF(Pay_Num&lt;&gt;"",0,""))</f>
        <v>0</v>
      </c>
      <c r="J341" s="70">
        <f>SUM($H$18:$H341)</f>
        <v>431201.75350020552</v>
      </c>
    </row>
    <row r="342" spans="1:10" x14ac:dyDescent="0.3">
      <c r="A342" s="36">
        <f>IF(Values_Entered,A341+1,"")</f>
        <v>325</v>
      </c>
      <c r="B342" s="35">
        <f>IF(Pay_Num&lt;&gt;"",DATE(YEAR(Loan_Start),MONTH(Loan_Start)+(Pay_Num)*12/Num_Pmt_Per_Year,DAY(Loan_Start)),"")</f>
        <v>75861</v>
      </c>
      <c r="C342" s="70">
        <f>IF(Pay_Num&lt;&gt;"",I341,"")</f>
        <v>0</v>
      </c>
      <c r="D342" s="70">
        <f>IF(Pay_Num&lt;&gt;"",Scheduled_Monthly_Payment,"")</f>
        <v>71560.087675010276</v>
      </c>
      <c r="E342" s="71">
        <f>IF(AND(Pay_Num&lt;&gt;"",Sched_Pay+Scheduled_Extra_Payments&lt;Beg_Bal),Scheduled_Extra_Payments,IF(AND(Pay_Num&lt;&gt;"",Beg_Bal-Sched_Pay&gt;0),Beg_Bal-Sched_Pay,IF(Pay_Num&lt;&gt;"",0,"")))</f>
        <v>0</v>
      </c>
      <c r="F342" s="70">
        <f>IF(AND(Pay_Num&lt;&gt;"",Sched_Pay+Extra_Pay&lt;Beg_Bal),Sched_Pay+Extra_Pay,IF(Pay_Num&lt;&gt;"",Beg_Bal,""))</f>
        <v>0</v>
      </c>
      <c r="G342" s="70">
        <f>IF(Pay_Num&lt;&gt;"",Total_Pay-Int,"")</f>
        <v>0</v>
      </c>
      <c r="H342" s="70">
        <f>IF(Pay_Num&lt;&gt;"",Beg_Bal*Interest_Rate/Num_Pmt_Per_Year,"")</f>
        <v>0</v>
      </c>
      <c r="I342" s="70">
        <f>IF(AND(Pay_Num&lt;&gt;"",Sched_Pay+Extra_Pay&lt;Beg_Bal),Beg_Bal-Princ,IF(Pay_Num&lt;&gt;"",0,""))</f>
        <v>0</v>
      </c>
      <c r="J342" s="70">
        <f>SUM($H$18:$H342)</f>
        <v>431201.75350020552</v>
      </c>
    </row>
    <row r="343" spans="1:10" x14ac:dyDescent="0.3">
      <c r="A343" s="36">
        <f>IF(Values_Entered,A342+1,"")</f>
        <v>326</v>
      </c>
      <c r="B343" s="35">
        <f>IF(Pay_Num&lt;&gt;"",DATE(YEAR(Loan_Start),MONTH(Loan_Start)+(Pay_Num)*12/Num_Pmt_Per_Year,DAY(Loan_Start)),"")</f>
        <v>75952</v>
      </c>
      <c r="C343" s="70">
        <f>IF(Pay_Num&lt;&gt;"",I342,"")</f>
        <v>0</v>
      </c>
      <c r="D343" s="70">
        <f>IF(Pay_Num&lt;&gt;"",Scheduled_Monthly_Payment,"")</f>
        <v>71560.087675010276</v>
      </c>
      <c r="E343" s="71">
        <f>IF(AND(Pay_Num&lt;&gt;"",Sched_Pay+Scheduled_Extra_Payments&lt;Beg_Bal),Scheduled_Extra_Payments,IF(AND(Pay_Num&lt;&gt;"",Beg_Bal-Sched_Pay&gt;0),Beg_Bal-Sched_Pay,IF(Pay_Num&lt;&gt;"",0,"")))</f>
        <v>0</v>
      </c>
      <c r="F343" s="70">
        <f>IF(AND(Pay_Num&lt;&gt;"",Sched_Pay+Extra_Pay&lt;Beg_Bal),Sched_Pay+Extra_Pay,IF(Pay_Num&lt;&gt;"",Beg_Bal,""))</f>
        <v>0</v>
      </c>
      <c r="G343" s="70">
        <f>IF(Pay_Num&lt;&gt;"",Total_Pay-Int,"")</f>
        <v>0</v>
      </c>
      <c r="H343" s="70">
        <f>IF(Pay_Num&lt;&gt;"",Beg_Bal*Interest_Rate/Num_Pmt_Per_Year,"")</f>
        <v>0</v>
      </c>
      <c r="I343" s="70">
        <f>IF(AND(Pay_Num&lt;&gt;"",Sched_Pay+Extra_Pay&lt;Beg_Bal),Beg_Bal-Princ,IF(Pay_Num&lt;&gt;"",0,""))</f>
        <v>0</v>
      </c>
      <c r="J343" s="70">
        <f>SUM($H$18:$H343)</f>
        <v>431201.75350020552</v>
      </c>
    </row>
    <row r="344" spans="1:10" x14ac:dyDescent="0.3">
      <c r="A344" s="36">
        <f>IF(Values_Entered,A343+1,"")</f>
        <v>327</v>
      </c>
      <c r="B344" s="35">
        <f>IF(Pay_Num&lt;&gt;"",DATE(YEAR(Loan_Start),MONTH(Loan_Start)+(Pay_Num)*12/Num_Pmt_Per_Year,DAY(Loan_Start)),"")</f>
        <v>76043</v>
      </c>
      <c r="C344" s="70">
        <f>IF(Pay_Num&lt;&gt;"",I343,"")</f>
        <v>0</v>
      </c>
      <c r="D344" s="70">
        <f>IF(Pay_Num&lt;&gt;"",Scheduled_Monthly_Payment,"")</f>
        <v>71560.087675010276</v>
      </c>
      <c r="E344" s="71">
        <f>IF(AND(Pay_Num&lt;&gt;"",Sched_Pay+Scheduled_Extra_Payments&lt;Beg_Bal),Scheduled_Extra_Payments,IF(AND(Pay_Num&lt;&gt;"",Beg_Bal-Sched_Pay&gt;0),Beg_Bal-Sched_Pay,IF(Pay_Num&lt;&gt;"",0,"")))</f>
        <v>0</v>
      </c>
      <c r="F344" s="70">
        <f>IF(AND(Pay_Num&lt;&gt;"",Sched_Pay+Extra_Pay&lt;Beg_Bal),Sched_Pay+Extra_Pay,IF(Pay_Num&lt;&gt;"",Beg_Bal,""))</f>
        <v>0</v>
      </c>
      <c r="G344" s="70">
        <f>IF(Pay_Num&lt;&gt;"",Total_Pay-Int,"")</f>
        <v>0</v>
      </c>
      <c r="H344" s="70">
        <f>IF(Pay_Num&lt;&gt;"",Beg_Bal*Interest_Rate/Num_Pmt_Per_Year,"")</f>
        <v>0</v>
      </c>
      <c r="I344" s="70">
        <f>IF(AND(Pay_Num&lt;&gt;"",Sched_Pay+Extra_Pay&lt;Beg_Bal),Beg_Bal-Princ,IF(Pay_Num&lt;&gt;"",0,""))</f>
        <v>0</v>
      </c>
      <c r="J344" s="70">
        <f>SUM($H$18:$H344)</f>
        <v>431201.75350020552</v>
      </c>
    </row>
    <row r="345" spans="1:10" x14ac:dyDescent="0.3">
      <c r="A345" s="36">
        <f>IF(Values_Entered,A344+1,"")</f>
        <v>328</v>
      </c>
      <c r="B345" s="35">
        <f>IF(Pay_Num&lt;&gt;"",DATE(YEAR(Loan_Start),MONTH(Loan_Start)+(Pay_Num)*12/Num_Pmt_Per_Year,DAY(Loan_Start)),"")</f>
        <v>76135</v>
      </c>
      <c r="C345" s="70">
        <f>IF(Pay_Num&lt;&gt;"",I344,"")</f>
        <v>0</v>
      </c>
      <c r="D345" s="70">
        <f>IF(Pay_Num&lt;&gt;"",Scheduled_Monthly_Payment,"")</f>
        <v>71560.087675010276</v>
      </c>
      <c r="E345" s="71">
        <f>IF(AND(Pay_Num&lt;&gt;"",Sched_Pay+Scheduled_Extra_Payments&lt;Beg_Bal),Scheduled_Extra_Payments,IF(AND(Pay_Num&lt;&gt;"",Beg_Bal-Sched_Pay&gt;0),Beg_Bal-Sched_Pay,IF(Pay_Num&lt;&gt;"",0,"")))</f>
        <v>0</v>
      </c>
      <c r="F345" s="70">
        <f>IF(AND(Pay_Num&lt;&gt;"",Sched_Pay+Extra_Pay&lt;Beg_Bal),Sched_Pay+Extra_Pay,IF(Pay_Num&lt;&gt;"",Beg_Bal,""))</f>
        <v>0</v>
      </c>
      <c r="G345" s="70">
        <f>IF(Pay_Num&lt;&gt;"",Total_Pay-Int,"")</f>
        <v>0</v>
      </c>
      <c r="H345" s="70">
        <f>IF(Pay_Num&lt;&gt;"",Beg_Bal*Interest_Rate/Num_Pmt_Per_Year,"")</f>
        <v>0</v>
      </c>
      <c r="I345" s="70">
        <f>IF(AND(Pay_Num&lt;&gt;"",Sched_Pay+Extra_Pay&lt;Beg_Bal),Beg_Bal-Princ,IF(Pay_Num&lt;&gt;"",0,""))</f>
        <v>0</v>
      </c>
      <c r="J345" s="70">
        <f>SUM($H$18:$H345)</f>
        <v>431201.75350020552</v>
      </c>
    </row>
    <row r="346" spans="1:10" x14ac:dyDescent="0.3">
      <c r="A346" s="36">
        <f>IF(Values_Entered,A345+1,"")</f>
        <v>329</v>
      </c>
      <c r="B346" s="35">
        <f>IF(Pay_Num&lt;&gt;"",DATE(YEAR(Loan_Start),MONTH(Loan_Start)+(Pay_Num)*12/Num_Pmt_Per_Year,DAY(Loan_Start)),"")</f>
        <v>76227</v>
      </c>
      <c r="C346" s="70">
        <f>IF(Pay_Num&lt;&gt;"",I345,"")</f>
        <v>0</v>
      </c>
      <c r="D346" s="70">
        <f>IF(Pay_Num&lt;&gt;"",Scheduled_Monthly_Payment,"")</f>
        <v>71560.087675010276</v>
      </c>
      <c r="E346" s="71">
        <f>IF(AND(Pay_Num&lt;&gt;"",Sched_Pay+Scheduled_Extra_Payments&lt;Beg_Bal),Scheduled_Extra_Payments,IF(AND(Pay_Num&lt;&gt;"",Beg_Bal-Sched_Pay&gt;0),Beg_Bal-Sched_Pay,IF(Pay_Num&lt;&gt;"",0,"")))</f>
        <v>0</v>
      </c>
      <c r="F346" s="70">
        <f>IF(AND(Pay_Num&lt;&gt;"",Sched_Pay+Extra_Pay&lt;Beg_Bal),Sched_Pay+Extra_Pay,IF(Pay_Num&lt;&gt;"",Beg_Bal,""))</f>
        <v>0</v>
      </c>
      <c r="G346" s="70">
        <f>IF(Pay_Num&lt;&gt;"",Total_Pay-Int,"")</f>
        <v>0</v>
      </c>
      <c r="H346" s="70">
        <f>IF(Pay_Num&lt;&gt;"",Beg_Bal*Interest_Rate/Num_Pmt_Per_Year,"")</f>
        <v>0</v>
      </c>
      <c r="I346" s="70">
        <f>IF(AND(Pay_Num&lt;&gt;"",Sched_Pay+Extra_Pay&lt;Beg_Bal),Beg_Bal-Princ,IF(Pay_Num&lt;&gt;"",0,""))</f>
        <v>0</v>
      </c>
      <c r="J346" s="70">
        <f>SUM($H$18:$H346)</f>
        <v>431201.75350020552</v>
      </c>
    </row>
    <row r="347" spans="1:10" x14ac:dyDescent="0.3">
      <c r="A347" s="36">
        <f>IF(Values_Entered,A346+1,"")</f>
        <v>330</v>
      </c>
      <c r="B347" s="35">
        <f>IF(Pay_Num&lt;&gt;"",DATE(YEAR(Loan_Start),MONTH(Loan_Start)+(Pay_Num)*12/Num_Pmt_Per_Year,DAY(Loan_Start)),"")</f>
        <v>76318</v>
      </c>
      <c r="C347" s="70">
        <f>IF(Pay_Num&lt;&gt;"",I346,"")</f>
        <v>0</v>
      </c>
      <c r="D347" s="70">
        <f>IF(Pay_Num&lt;&gt;"",Scheduled_Monthly_Payment,"")</f>
        <v>71560.087675010276</v>
      </c>
      <c r="E347" s="71">
        <f>IF(AND(Pay_Num&lt;&gt;"",Sched_Pay+Scheduled_Extra_Payments&lt;Beg_Bal),Scheduled_Extra_Payments,IF(AND(Pay_Num&lt;&gt;"",Beg_Bal-Sched_Pay&gt;0),Beg_Bal-Sched_Pay,IF(Pay_Num&lt;&gt;"",0,"")))</f>
        <v>0</v>
      </c>
      <c r="F347" s="70">
        <f>IF(AND(Pay_Num&lt;&gt;"",Sched_Pay+Extra_Pay&lt;Beg_Bal),Sched_Pay+Extra_Pay,IF(Pay_Num&lt;&gt;"",Beg_Bal,""))</f>
        <v>0</v>
      </c>
      <c r="G347" s="70">
        <f>IF(Pay_Num&lt;&gt;"",Total_Pay-Int,"")</f>
        <v>0</v>
      </c>
      <c r="H347" s="70">
        <f>IF(Pay_Num&lt;&gt;"",Beg_Bal*Interest_Rate/Num_Pmt_Per_Year,"")</f>
        <v>0</v>
      </c>
      <c r="I347" s="70">
        <f>IF(AND(Pay_Num&lt;&gt;"",Sched_Pay+Extra_Pay&lt;Beg_Bal),Beg_Bal-Princ,IF(Pay_Num&lt;&gt;"",0,""))</f>
        <v>0</v>
      </c>
      <c r="J347" s="70">
        <f>SUM($H$18:$H347)</f>
        <v>431201.75350020552</v>
      </c>
    </row>
    <row r="348" spans="1:10" x14ac:dyDescent="0.3">
      <c r="A348" s="36">
        <f>IF(Values_Entered,A347+1,"")</f>
        <v>331</v>
      </c>
      <c r="B348" s="35">
        <f>IF(Pay_Num&lt;&gt;"",DATE(YEAR(Loan_Start),MONTH(Loan_Start)+(Pay_Num)*12/Num_Pmt_Per_Year,DAY(Loan_Start)),"")</f>
        <v>76408</v>
      </c>
      <c r="C348" s="70">
        <f>IF(Pay_Num&lt;&gt;"",I347,"")</f>
        <v>0</v>
      </c>
      <c r="D348" s="70">
        <f>IF(Pay_Num&lt;&gt;"",Scheduled_Monthly_Payment,"")</f>
        <v>71560.087675010276</v>
      </c>
      <c r="E348" s="71">
        <f>IF(AND(Pay_Num&lt;&gt;"",Sched_Pay+Scheduled_Extra_Payments&lt;Beg_Bal),Scheduled_Extra_Payments,IF(AND(Pay_Num&lt;&gt;"",Beg_Bal-Sched_Pay&gt;0),Beg_Bal-Sched_Pay,IF(Pay_Num&lt;&gt;"",0,"")))</f>
        <v>0</v>
      </c>
      <c r="F348" s="70">
        <f>IF(AND(Pay_Num&lt;&gt;"",Sched_Pay+Extra_Pay&lt;Beg_Bal),Sched_Pay+Extra_Pay,IF(Pay_Num&lt;&gt;"",Beg_Bal,""))</f>
        <v>0</v>
      </c>
      <c r="G348" s="70">
        <f>IF(Pay_Num&lt;&gt;"",Total_Pay-Int,"")</f>
        <v>0</v>
      </c>
      <c r="H348" s="70">
        <f>IF(Pay_Num&lt;&gt;"",Beg_Bal*Interest_Rate/Num_Pmt_Per_Year,"")</f>
        <v>0</v>
      </c>
      <c r="I348" s="70">
        <f>IF(AND(Pay_Num&lt;&gt;"",Sched_Pay+Extra_Pay&lt;Beg_Bal),Beg_Bal-Princ,IF(Pay_Num&lt;&gt;"",0,""))</f>
        <v>0</v>
      </c>
      <c r="J348" s="70">
        <f>SUM($H$18:$H348)</f>
        <v>431201.75350020552</v>
      </c>
    </row>
    <row r="349" spans="1:10" x14ac:dyDescent="0.3">
      <c r="A349" s="36">
        <f>IF(Values_Entered,A348+1,"")</f>
        <v>332</v>
      </c>
      <c r="B349" s="35">
        <f>IF(Pay_Num&lt;&gt;"",DATE(YEAR(Loan_Start),MONTH(Loan_Start)+(Pay_Num)*12/Num_Pmt_Per_Year,DAY(Loan_Start)),"")</f>
        <v>76500</v>
      </c>
      <c r="C349" s="70">
        <f>IF(Pay_Num&lt;&gt;"",I348,"")</f>
        <v>0</v>
      </c>
      <c r="D349" s="70">
        <f>IF(Pay_Num&lt;&gt;"",Scheduled_Monthly_Payment,"")</f>
        <v>71560.087675010276</v>
      </c>
      <c r="E349" s="71">
        <f>IF(AND(Pay_Num&lt;&gt;"",Sched_Pay+Scheduled_Extra_Payments&lt;Beg_Bal),Scheduled_Extra_Payments,IF(AND(Pay_Num&lt;&gt;"",Beg_Bal-Sched_Pay&gt;0),Beg_Bal-Sched_Pay,IF(Pay_Num&lt;&gt;"",0,"")))</f>
        <v>0</v>
      </c>
      <c r="F349" s="70">
        <f>IF(AND(Pay_Num&lt;&gt;"",Sched_Pay+Extra_Pay&lt;Beg_Bal),Sched_Pay+Extra_Pay,IF(Pay_Num&lt;&gt;"",Beg_Bal,""))</f>
        <v>0</v>
      </c>
      <c r="G349" s="70">
        <f>IF(Pay_Num&lt;&gt;"",Total_Pay-Int,"")</f>
        <v>0</v>
      </c>
      <c r="H349" s="70">
        <f>IF(Pay_Num&lt;&gt;"",Beg_Bal*Interest_Rate/Num_Pmt_Per_Year,"")</f>
        <v>0</v>
      </c>
      <c r="I349" s="70">
        <f>IF(AND(Pay_Num&lt;&gt;"",Sched_Pay+Extra_Pay&lt;Beg_Bal),Beg_Bal-Princ,IF(Pay_Num&lt;&gt;"",0,""))</f>
        <v>0</v>
      </c>
      <c r="J349" s="70">
        <f>SUM($H$18:$H349)</f>
        <v>431201.75350020552</v>
      </c>
    </row>
    <row r="350" spans="1:10" x14ac:dyDescent="0.3">
      <c r="A350" s="36">
        <f>IF(Values_Entered,A349+1,"")</f>
        <v>333</v>
      </c>
      <c r="B350" s="35">
        <f>IF(Pay_Num&lt;&gt;"",DATE(YEAR(Loan_Start),MONTH(Loan_Start)+(Pay_Num)*12/Num_Pmt_Per_Year,DAY(Loan_Start)),"")</f>
        <v>76592</v>
      </c>
      <c r="C350" s="70">
        <f>IF(Pay_Num&lt;&gt;"",I349,"")</f>
        <v>0</v>
      </c>
      <c r="D350" s="70">
        <f>IF(Pay_Num&lt;&gt;"",Scheduled_Monthly_Payment,"")</f>
        <v>71560.087675010276</v>
      </c>
      <c r="E350" s="71">
        <f>IF(AND(Pay_Num&lt;&gt;"",Sched_Pay+Scheduled_Extra_Payments&lt;Beg_Bal),Scheduled_Extra_Payments,IF(AND(Pay_Num&lt;&gt;"",Beg_Bal-Sched_Pay&gt;0),Beg_Bal-Sched_Pay,IF(Pay_Num&lt;&gt;"",0,"")))</f>
        <v>0</v>
      </c>
      <c r="F350" s="70">
        <f>IF(AND(Pay_Num&lt;&gt;"",Sched_Pay+Extra_Pay&lt;Beg_Bal),Sched_Pay+Extra_Pay,IF(Pay_Num&lt;&gt;"",Beg_Bal,""))</f>
        <v>0</v>
      </c>
      <c r="G350" s="70">
        <f>IF(Pay_Num&lt;&gt;"",Total_Pay-Int,"")</f>
        <v>0</v>
      </c>
      <c r="H350" s="70">
        <f>IF(Pay_Num&lt;&gt;"",Beg_Bal*Interest_Rate/Num_Pmt_Per_Year,"")</f>
        <v>0</v>
      </c>
      <c r="I350" s="70">
        <f>IF(AND(Pay_Num&lt;&gt;"",Sched_Pay+Extra_Pay&lt;Beg_Bal),Beg_Bal-Princ,IF(Pay_Num&lt;&gt;"",0,""))</f>
        <v>0</v>
      </c>
      <c r="J350" s="70">
        <f>SUM($H$18:$H350)</f>
        <v>431201.75350020552</v>
      </c>
    </row>
    <row r="351" spans="1:10" x14ac:dyDescent="0.3">
      <c r="A351" s="36">
        <f>IF(Values_Entered,A350+1,"")</f>
        <v>334</v>
      </c>
      <c r="B351" s="35">
        <f>IF(Pay_Num&lt;&gt;"",DATE(YEAR(Loan_Start),MONTH(Loan_Start)+(Pay_Num)*12/Num_Pmt_Per_Year,DAY(Loan_Start)),"")</f>
        <v>76683</v>
      </c>
      <c r="C351" s="70">
        <f>IF(Pay_Num&lt;&gt;"",I350,"")</f>
        <v>0</v>
      </c>
      <c r="D351" s="70">
        <f>IF(Pay_Num&lt;&gt;"",Scheduled_Monthly_Payment,"")</f>
        <v>71560.087675010276</v>
      </c>
      <c r="E351" s="71">
        <f>IF(AND(Pay_Num&lt;&gt;"",Sched_Pay+Scheduled_Extra_Payments&lt;Beg_Bal),Scheduled_Extra_Payments,IF(AND(Pay_Num&lt;&gt;"",Beg_Bal-Sched_Pay&gt;0),Beg_Bal-Sched_Pay,IF(Pay_Num&lt;&gt;"",0,"")))</f>
        <v>0</v>
      </c>
      <c r="F351" s="70">
        <f>IF(AND(Pay_Num&lt;&gt;"",Sched_Pay+Extra_Pay&lt;Beg_Bal),Sched_Pay+Extra_Pay,IF(Pay_Num&lt;&gt;"",Beg_Bal,""))</f>
        <v>0</v>
      </c>
      <c r="G351" s="70">
        <f>IF(Pay_Num&lt;&gt;"",Total_Pay-Int,"")</f>
        <v>0</v>
      </c>
      <c r="H351" s="70">
        <f>IF(Pay_Num&lt;&gt;"",Beg_Bal*Interest_Rate/Num_Pmt_Per_Year,"")</f>
        <v>0</v>
      </c>
      <c r="I351" s="70">
        <f>IF(AND(Pay_Num&lt;&gt;"",Sched_Pay+Extra_Pay&lt;Beg_Bal),Beg_Bal-Princ,IF(Pay_Num&lt;&gt;"",0,""))</f>
        <v>0</v>
      </c>
      <c r="J351" s="70">
        <f>SUM($H$18:$H351)</f>
        <v>431201.75350020552</v>
      </c>
    </row>
    <row r="352" spans="1:10" x14ac:dyDescent="0.3">
      <c r="A352" s="36">
        <f>IF(Values_Entered,A351+1,"")</f>
        <v>335</v>
      </c>
      <c r="B352" s="35">
        <f>IF(Pay_Num&lt;&gt;"",DATE(YEAR(Loan_Start),MONTH(Loan_Start)+(Pay_Num)*12/Num_Pmt_Per_Year,DAY(Loan_Start)),"")</f>
        <v>76773</v>
      </c>
      <c r="C352" s="70">
        <f>IF(Pay_Num&lt;&gt;"",I351,"")</f>
        <v>0</v>
      </c>
      <c r="D352" s="70">
        <f>IF(Pay_Num&lt;&gt;"",Scheduled_Monthly_Payment,"")</f>
        <v>71560.087675010276</v>
      </c>
      <c r="E352" s="71">
        <f>IF(AND(Pay_Num&lt;&gt;"",Sched_Pay+Scheduled_Extra_Payments&lt;Beg_Bal),Scheduled_Extra_Payments,IF(AND(Pay_Num&lt;&gt;"",Beg_Bal-Sched_Pay&gt;0),Beg_Bal-Sched_Pay,IF(Pay_Num&lt;&gt;"",0,"")))</f>
        <v>0</v>
      </c>
      <c r="F352" s="70">
        <f>IF(AND(Pay_Num&lt;&gt;"",Sched_Pay+Extra_Pay&lt;Beg_Bal),Sched_Pay+Extra_Pay,IF(Pay_Num&lt;&gt;"",Beg_Bal,""))</f>
        <v>0</v>
      </c>
      <c r="G352" s="70">
        <f>IF(Pay_Num&lt;&gt;"",Total_Pay-Int,"")</f>
        <v>0</v>
      </c>
      <c r="H352" s="70">
        <f>IF(Pay_Num&lt;&gt;"",Beg_Bal*Interest_Rate/Num_Pmt_Per_Year,"")</f>
        <v>0</v>
      </c>
      <c r="I352" s="70">
        <f>IF(AND(Pay_Num&lt;&gt;"",Sched_Pay+Extra_Pay&lt;Beg_Bal),Beg_Bal-Princ,IF(Pay_Num&lt;&gt;"",0,""))</f>
        <v>0</v>
      </c>
      <c r="J352" s="70">
        <f>SUM($H$18:$H352)</f>
        <v>431201.75350020552</v>
      </c>
    </row>
    <row r="353" spans="1:10" x14ac:dyDescent="0.3">
      <c r="A353" s="36">
        <f>IF(Values_Entered,A352+1,"")</f>
        <v>336</v>
      </c>
      <c r="B353" s="35">
        <f>IF(Pay_Num&lt;&gt;"",DATE(YEAR(Loan_Start),MONTH(Loan_Start)+(Pay_Num)*12/Num_Pmt_Per_Year,DAY(Loan_Start)),"")</f>
        <v>76865</v>
      </c>
      <c r="C353" s="70">
        <f>IF(Pay_Num&lt;&gt;"",I352,"")</f>
        <v>0</v>
      </c>
      <c r="D353" s="70">
        <f>IF(Pay_Num&lt;&gt;"",Scheduled_Monthly_Payment,"")</f>
        <v>71560.087675010276</v>
      </c>
      <c r="E353" s="71">
        <f>IF(AND(Pay_Num&lt;&gt;"",Sched_Pay+Scheduled_Extra_Payments&lt;Beg_Bal),Scheduled_Extra_Payments,IF(AND(Pay_Num&lt;&gt;"",Beg_Bal-Sched_Pay&gt;0),Beg_Bal-Sched_Pay,IF(Pay_Num&lt;&gt;"",0,"")))</f>
        <v>0</v>
      </c>
      <c r="F353" s="70">
        <f>IF(AND(Pay_Num&lt;&gt;"",Sched_Pay+Extra_Pay&lt;Beg_Bal),Sched_Pay+Extra_Pay,IF(Pay_Num&lt;&gt;"",Beg_Bal,""))</f>
        <v>0</v>
      </c>
      <c r="G353" s="70">
        <f>IF(Pay_Num&lt;&gt;"",Total_Pay-Int,"")</f>
        <v>0</v>
      </c>
      <c r="H353" s="70">
        <f>IF(Pay_Num&lt;&gt;"",Beg_Bal*Interest_Rate/Num_Pmt_Per_Year,"")</f>
        <v>0</v>
      </c>
      <c r="I353" s="70">
        <f>IF(AND(Pay_Num&lt;&gt;"",Sched_Pay+Extra_Pay&lt;Beg_Bal),Beg_Bal-Princ,IF(Pay_Num&lt;&gt;"",0,""))</f>
        <v>0</v>
      </c>
      <c r="J353" s="70">
        <f>SUM($H$18:$H353)</f>
        <v>431201.75350020552</v>
      </c>
    </row>
    <row r="354" spans="1:10" x14ac:dyDescent="0.3">
      <c r="A354" s="36">
        <f>IF(Values_Entered,A353+1,"")</f>
        <v>337</v>
      </c>
      <c r="B354" s="35">
        <f>IF(Pay_Num&lt;&gt;"",DATE(YEAR(Loan_Start),MONTH(Loan_Start)+(Pay_Num)*12/Num_Pmt_Per_Year,DAY(Loan_Start)),"")</f>
        <v>76957</v>
      </c>
      <c r="C354" s="70">
        <f>IF(Pay_Num&lt;&gt;"",I353,"")</f>
        <v>0</v>
      </c>
      <c r="D354" s="70">
        <f>IF(Pay_Num&lt;&gt;"",Scheduled_Monthly_Payment,"")</f>
        <v>71560.087675010276</v>
      </c>
      <c r="E354" s="71">
        <f>IF(AND(Pay_Num&lt;&gt;"",Sched_Pay+Scheduled_Extra_Payments&lt;Beg_Bal),Scheduled_Extra_Payments,IF(AND(Pay_Num&lt;&gt;"",Beg_Bal-Sched_Pay&gt;0),Beg_Bal-Sched_Pay,IF(Pay_Num&lt;&gt;"",0,"")))</f>
        <v>0</v>
      </c>
      <c r="F354" s="70">
        <f>IF(AND(Pay_Num&lt;&gt;"",Sched_Pay+Extra_Pay&lt;Beg_Bal),Sched_Pay+Extra_Pay,IF(Pay_Num&lt;&gt;"",Beg_Bal,""))</f>
        <v>0</v>
      </c>
      <c r="G354" s="70">
        <f>IF(Pay_Num&lt;&gt;"",Total_Pay-Int,"")</f>
        <v>0</v>
      </c>
      <c r="H354" s="70">
        <f>IF(Pay_Num&lt;&gt;"",Beg_Bal*Interest_Rate/Num_Pmt_Per_Year,"")</f>
        <v>0</v>
      </c>
      <c r="I354" s="70">
        <f>IF(AND(Pay_Num&lt;&gt;"",Sched_Pay+Extra_Pay&lt;Beg_Bal),Beg_Bal-Princ,IF(Pay_Num&lt;&gt;"",0,""))</f>
        <v>0</v>
      </c>
      <c r="J354" s="70">
        <f>SUM($H$18:$H354)</f>
        <v>431201.75350020552</v>
      </c>
    </row>
    <row r="355" spans="1:10" x14ac:dyDescent="0.3">
      <c r="A355" s="36">
        <f>IF(Values_Entered,A354+1,"")</f>
        <v>338</v>
      </c>
      <c r="B355" s="35">
        <f>IF(Pay_Num&lt;&gt;"",DATE(YEAR(Loan_Start),MONTH(Loan_Start)+(Pay_Num)*12/Num_Pmt_Per_Year,DAY(Loan_Start)),"")</f>
        <v>77048</v>
      </c>
      <c r="C355" s="70">
        <f>IF(Pay_Num&lt;&gt;"",I354,"")</f>
        <v>0</v>
      </c>
      <c r="D355" s="70">
        <f>IF(Pay_Num&lt;&gt;"",Scheduled_Monthly_Payment,"")</f>
        <v>71560.087675010276</v>
      </c>
      <c r="E355" s="71">
        <f>IF(AND(Pay_Num&lt;&gt;"",Sched_Pay+Scheduled_Extra_Payments&lt;Beg_Bal),Scheduled_Extra_Payments,IF(AND(Pay_Num&lt;&gt;"",Beg_Bal-Sched_Pay&gt;0),Beg_Bal-Sched_Pay,IF(Pay_Num&lt;&gt;"",0,"")))</f>
        <v>0</v>
      </c>
      <c r="F355" s="70">
        <f>IF(AND(Pay_Num&lt;&gt;"",Sched_Pay+Extra_Pay&lt;Beg_Bal),Sched_Pay+Extra_Pay,IF(Pay_Num&lt;&gt;"",Beg_Bal,""))</f>
        <v>0</v>
      </c>
      <c r="G355" s="70">
        <f>IF(Pay_Num&lt;&gt;"",Total_Pay-Int,"")</f>
        <v>0</v>
      </c>
      <c r="H355" s="70">
        <f>IF(Pay_Num&lt;&gt;"",Beg_Bal*Interest_Rate/Num_Pmt_Per_Year,"")</f>
        <v>0</v>
      </c>
      <c r="I355" s="70">
        <f>IF(AND(Pay_Num&lt;&gt;"",Sched_Pay+Extra_Pay&lt;Beg_Bal),Beg_Bal-Princ,IF(Pay_Num&lt;&gt;"",0,""))</f>
        <v>0</v>
      </c>
      <c r="J355" s="70">
        <f>SUM($H$18:$H355)</f>
        <v>431201.75350020552</v>
      </c>
    </row>
    <row r="356" spans="1:10" x14ac:dyDescent="0.3">
      <c r="A356" s="36">
        <f>IF(Values_Entered,A355+1,"")</f>
        <v>339</v>
      </c>
      <c r="B356" s="35">
        <f>IF(Pay_Num&lt;&gt;"",DATE(YEAR(Loan_Start),MONTH(Loan_Start)+(Pay_Num)*12/Num_Pmt_Per_Year,DAY(Loan_Start)),"")</f>
        <v>77138</v>
      </c>
      <c r="C356" s="70">
        <f>IF(Pay_Num&lt;&gt;"",I355,"")</f>
        <v>0</v>
      </c>
      <c r="D356" s="70">
        <f>IF(Pay_Num&lt;&gt;"",Scheduled_Monthly_Payment,"")</f>
        <v>71560.087675010276</v>
      </c>
      <c r="E356" s="71">
        <f>IF(AND(Pay_Num&lt;&gt;"",Sched_Pay+Scheduled_Extra_Payments&lt;Beg_Bal),Scheduled_Extra_Payments,IF(AND(Pay_Num&lt;&gt;"",Beg_Bal-Sched_Pay&gt;0),Beg_Bal-Sched_Pay,IF(Pay_Num&lt;&gt;"",0,"")))</f>
        <v>0</v>
      </c>
      <c r="F356" s="70">
        <f>IF(AND(Pay_Num&lt;&gt;"",Sched_Pay+Extra_Pay&lt;Beg_Bal),Sched_Pay+Extra_Pay,IF(Pay_Num&lt;&gt;"",Beg_Bal,""))</f>
        <v>0</v>
      </c>
      <c r="G356" s="70">
        <f>IF(Pay_Num&lt;&gt;"",Total_Pay-Int,"")</f>
        <v>0</v>
      </c>
      <c r="H356" s="70">
        <f>IF(Pay_Num&lt;&gt;"",Beg_Bal*Interest_Rate/Num_Pmt_Per_Year,"")</f>
        <v>0</v>
      </c>
      <c r="I356" s="70">
        <f>IF(AND(Pay_Num&lt;&gt;"",Sched_Pay+Extra_Pay&lt;Beg_Bal),Beg_Bal-Princ,IF(Pay_Num&lt;&gt;"",0,""))</f>
        <v>0</v>
      </c>
      <c r="J356" s="70">
        <f>SUM($H$18:$H356)</f>
        <v>431201.75350020552</v>
      </c>
    </row>
    <row r="357" spans="1:10" x14ac:dyDescent="0.3">
      <c r="A357" s="36">
        <f>IF(Values_Entered,A356+1,"")</f>
        <v>340</v>
      </c>
      <c r="B357" s="35">
        <f>IF(Pay_Num&lt;&gt;"",DATE(YEAR(Loan_Start),MONTH(Loan_Start)+(Pay_Num)*12/Num_Pmt_Per_Year,DAY(Loan_Start)),"")</f>
        <v>77230</v>
      </c>
      <c r="C357" s="70">
        <f>IF(Pay_Num&lt;&gt;"",I356,"")</f>
        <v>0</v>
      </c>
      <c r="D357" s="70">
        <f>IF(Pay_Num&lt;&gt;"",Scheduled_Monthly_Payment,"")</f>
        <v>71560.087675010276</v>
      </c>
      <c r="E357" s="71">
        <f>IF(AND(Pay_Num&lt;&gt;"",Sched_Pay+Scheduled_Extra_Payments&lt;Beg_Bal),Scheduled_Extra_Payments,IF(AND(Pay_Num&lt;&gt;"",Beg_Bal-Sched_Pay&gt;0),Beg_Bal-Sched_Pay,IF(Pay_Num&lt;&gt;"",0,"")))</f>
        <v>0</v>
      </c>
      <c r="F357" s="70">
        <f>IF(AND(Pay_Num&lt;&gt;"",Sched_Pay+Extra_Pay&lt;Beg_Bal),Sched_Pay+Extra_Pay,IF(Pay_Num&lt;&gt;"",Beg_Bal,""))</f>
        <v>0</v>
      </c>
      <c r="G357" s="70">
        <f>IF(Pay_Num&lt;&gt;"",Total_Pay-Int,"")</f>
        <v>0</v>
      </c>
      <c r="H357" s="70">
        <f>IF(Pay_Num&lt;&gt;"",Beg_Bal*Interest_Rate/Num_Pmt_Per_Year,"")</f>
        <v>0</v>
      </c>
      <c r="I357" s="70">
        <f>IF(AND(Pay_Num&lt;&gt;"",Sched_Pay+Extra_Pay&lt;Beg_Bal),Beg_Bal-Princ,IF(Pay_Num&lt;&gt;"",0,""))</f>
        <v>0</v>
      </c>
      <c r="J357" s="70">
        <f>SUM($H$18:$H357)</f>
        <v>431201.75350020552</v>
      </c>
    </row>
    <row r="358" spans="1:10" x14ac:dyDescent="0.3">
      <c r="A358" s="36">
        <f>IF(Values_Entered,A357+1,"")</f>
        <v>341</v>
      </c>
      <c r="B358" s="35">
        <f>IF(Pay_Num&lt;&gt;"",DATE(YEAR(Loan_Start),MONTH(Loan_Start)+(Pay_Num)*12/Num_Pmt_Per_Year,DAY(Loan_Start)),"")</f>
        <v>77322</v>
      </c>
      <c r="C358" s="70">
        <f>IF(Pay_Num&lt;&gt;"",I357,"")</f>
        <v>0</v>
      </c>
      <c r="D358" s="70">
        <f>IF(Pay_Num&lt;&gt;"",Scheduled_Monthly_Payment,"")</f>
        <v>71560.087675010276</v>
      </c>
      <c r="E358" s="71">
        <f>IF(AND(Pay_Num&lt;&gt;"",Sched_Pay+Scheduled_Extra_Payments&lt;Beg_Bal),Scheduled_Extra_Payments,IF(AND(Pay_Num&lt;&gt;"",Beg_Bal-Sched_Pay&gt;0),Beg_Bal-Sched_Pay,IF(Pay_Num&lt;&gt;"",0,"")))</f>
        <v>0</v>
      </c>
      <c r="F358" s="70">
        <f>IF(AND(Pay_Num&lt;&gt;"",Sched_Pay+Extra_Pay&lt;Beg_Bal),Sched_Pay+Extra_Pay,IF(Pay_Num&lt;&gt;"",Beg_Bal,""))</f>
        <v>0</v>
      </c>
      <c r="G358" s="70">
        <f>IF(Pay_Num&lt;&gt;"",Total_Pay-Int,"")</f>
        <v>0</v>
      </c>
      <c r="H358" s="70">
        <f>IF(Pay_Num&lt;&gt;"",Beg_Bal*Interest_Rate/Num_Pmt_Per_Year,"")</f>
        <v>0</v>
      </c>
      <c r="I358" s="70">
        <f>IF(AND(Pay_Num&lt;&gt;"",Sched_Pay+Extra_Pay&lt;Beg_Bal),Beg_Bal-Princ,IF(Pay_Num&lt;&gt;"",0,""))</f>
        <v>0</v>
      </c>
      <c r="J358" s="70">
        <f>SUM($H$18:$H358)</f>
        <v>431201.75350020552</v>
      </c>
    </row>
    <row r="359" spans="1:10" x14ac:dyDescent="0.3">
      <c r="A359" s="36">
        <f>IF(Values_Entered,A358+1,"")</f>
        <v>342</v>
      </c>
      <c r="B359" s="35">
        <f>IF(Pay_Num&lt;&gt;"",DATE(YEAR(Loan_Start),MONTH(Loan_Start)+(Pay_Num)*12/Num_Pmt_Per_Year,DAY(Loan_Start)),"")</f>
        <v>77413</v>
      </c>
      <c r="C359" s="70">
        <f>IF(Pay_Num&lt;&gt;"",I358,"")</f>
        <v>0</v>
      </c>
      <c r="D359" s="70">
        <f>IF(Pay_Num&lt;&gt;"",Scheduled_Monthly_Payment,"")</f>
        <v>71560.087675010276</v>
      </c>
      <c r="E359" s="71">
        <f>IF(AND(Pay_Num&lt;&gt;"",Sched_Pay+Scheduled_Extra_Payments&lt;Beg_Bal),Scheduled_Extra_Payments,IF(AND(Pay_Num&lt;&gt;"",Beg_Bal-Sched_Pay&gt;0),Beg_Bal-Sched_Pay,IF(Pay_Num&lt;&gt;"",0,"")))</f>
        <v>0</v>
      </c>
      <c r="F359" s="70">
        <f>IF(AND(Pay_Num&lt;&gt;"",Sched_Pay+Extra_Pay&lt;Beg_Bal),Sched_Pay+Extra_Pay,IF(Pay_Num&lt;&gt;"",Beg_Bal,""))</f>
        <v>0</v>
      </c>
      <c r="G359" s="70">
        <f>IF(Pay_Num&lt;&gt;"",Total_Pay-Int,"")</f>
        <v>0</v>
      </c>
      <c r="H359" s="70">
        <f>IF(Pay_Num&lt;&gt;"",Beg_Bal*Interest_Rate/Num_Pmt_Per_Year,"")</f>
        <v>0</v>
      </c>
      <c r="I359" s="70">
        <f>IF(AND(Pay_Num&lt;&gt;"",Sched_Pay+Extra_Pay&lt;Beg_Bal),Beg_Bal-Princ,IF(Pay_Num&lt;&gt;"",0,""))</f>
        <v>0</v>
      </c>
      <c r="J359" s="70">
        <f>SUM($H$18:$H359)</f>
        <v>431201.75350020552</v>
      </c>
    </row>
    <row r="360" spans="1:10" x14ac:dyDescent="0.3">
      <c r="A360" s="36">
        <f>IF(Values_Entered,A359+1,"")</f>
        <v>343</v>
      </c>
      <c r="B360" s="35">
        <f>IF(Pay_Num&lt;&gt;"",DATE(YEAR(Loan_Start),MONTH(Loan_Start)+(Pay_Num)*12/Num_Pmt_Per_Year,DAY(Loan_Start)),"")</f>
        <v>77504</v>
      </c>
      <c r="C360" s="70">
        <f>IF(Pay_Num&lt;&gt;"",I359,"")</f>
        <v>0</v>
      </c>
      <c r="D360" s="70">
        <f>IF(Pay_Num&lt;&gt;"",Scheduled_Monthly_Payment,"")</f>
        <v>71560.087675010276</v>
      </c>
      <c r="E360" s="71">
        <f>IF(AND(Pay_Num&lt;&gt;"",Sched_Pay+Scheduled_Extra_Payments&lt;Beg_Bal),Scheduled_Extra_Payments,IF(AND(Pay_Num&lt;&gt;"",Beg_Bal-Sched_Pay&gt;0),Beg_Bal-Sched_Pay,IF(Pay_Num&lt;&gt;"",0,"")))</f>
        <v>0</v>
      </c>
      <c r="F360" s="70">
        <f>IF(AND(Pay_Num&lt;&gt;"",Sched_Pay+Extra_Pay&lt;Beg_Bal),Sched_Pay+Extra_Pay,IF(Pay_Num&lt;&gt;"",Beg_Bal,""))</f>
        <v>0</v>
      </c>
      <c r="G360" s="70">
        <f>IF(Pay_Num&lt;&gt;"",Total_Pay-Int,"")</f>
        <v>0</v>
      </c>
      <c r="H360" s="70">
        <f>IF(Pay_Num&lt;&gt;"",Beg_Bal*Interest_Rate/Num_Pmt_Per_Year,"")</f>
        <v>0</v>
      </c>
      <c r="I360" s="70">
        <f>IF(AND(Pay_Num&lt;&gt;"",Sched_Pay+Extra_Pay&lt;Beg_Bal),Beg_Bal-Princ,IF(Pay_Num&lt;&gt;"",0,""))</f>
        <v>0</v>
      </c>
      <c r="J360" s="70">
        <f>SUM($H$18:$H360)</f>
        <v>431201.75350020552</v>
      </c>
    </row>
    <row r="361" spans="1:10" x14ac:dyDescent="0.3">
      <c r="A361" s="36">
        <f>IF(Values_Entered,A360+1,"")</f>
        <v>344</v>
      </c>
      <c r="B361" s="35">
        <f>IF(Pay_Num&lt;&gt;"",DATE(YEAR(Loan_Start),MONTH(Loan_Start)+(Pay_Num)*12/Num_Pmt_Per_Year,DAY(Loan_Start)),"")</f>
        <v>77596</v>
      </c>
      <c r="C361" s="70">
        <f>IF(Pay_Num&lt;&gt;"",I360,"")</f>
        <v>0</v>
      </c>
      <c r="D361" s="70">
        <f>IF(Pay_Num&lt;&gt;"",Scheduled_Monthly_Payment,"")</f>
        <v>71560.087675010276</v>
      </c>
      <c r="E361" s="71">
        <f>IF(AND(Pay_Num&lt;&gt;"",Sched_Pay+Scheduled_Extra_Payments&lt;Beg_Bal),Scheduled_Extra_Payments,IF(AND(Pay_Num&lt;&gt;"",Beg_Bal-Sched_Pay&gt;0),Beg_Bal-Sched_Pay,IF(Pay_Num&lt;&gt;"",0,"")))</f>
        <v>0</v>
      </c>
      <c r="F361" s="70">
        <f>IF(AND(Pay_Num&lt;&gt;"",Sched_Pay+Extra_Pay&lt;Beg_Bal),Sched_Pay+Extra_Pay,IF(Pay_Num&lt;&gt;"",Beg_Bal,""))</f>
        <v>0</v>
      </c>
      <c r="G361" s="70">
        <f>IF(Pay_Num&lt;&gt;"",Total_Pay-Int,"")</f>
        <v>0</v>
      </c>
      <c r="H361" s="70">
        <f>IF(Pay_Num&lt;&gt;"",Beg_Bal*Interest_Rate/Num_Pmt_Per_Year,"")</f>
        <v>0</v>
      </c>
      <c r="I361" s="70">
        <f>IF(AND(Pay_Num&lt;&gt;"",Sched_Pay+Extra_Pay&lt;Beg_Bal),Beg_Bal-Princ,IF(Pay_Num&lt;&gt;"",0,""))</f>
        <v>0</v>
      </c>
      <c r="J361" s="70">
        <f>SUM($H$18:$H361)</f>
        <v>431201.75350020552</v>
      </c>
    </row>
    <row r="362" spans="1:10" x14ac:dyDescent="0.3">
      <c r="A362" s="36">
        <f>IF(Values_Entered,A361+1,"")</f>
        <v>345</v>
      </c>
      <c r="B362" s="35">
        <f>IF(Pay_Num&lt;&gt;"",DATE(YEAR(Loan_Start),MONTH(Loan_Start)+(Pay_Num)*12/Num_Pmt_Per_Year,DAY(Loan_Start)),"")</f>
        <v>77688</v>
      </c>
      <c r="C362" s="70">
        <f>IF(Pay_Num&lt;&gt;"",I361,"")</f>
        <v>0</v>
      </c>
      <c r="D362" s="70">
        <f>IF(Pay_Num&lt;&gt;"",Scheduled_Monthly_Payment,"")</f>
        <v>71560.087675010276</v>
      </c>
      <c r="E362" s="71">
        <f>IF(AND(Pay_Num&lt;&gt;"",Sched_Pay+Scheduled_Extra_Payments&lt;Beg_Bal),Scheduled_Extra_Payments,IF(AND(Pay_Num&lt;&gt;"",Beg_Bal-Sched_Pay&gt;0),Beg_Bal-Sched_Pay,IF(Pay_Num&lt;&gt;"",0,"")))</f>
        <v>0</v>
      </c>
      <c r="F362" s="70">
        <f>IF(AND(Pay_Num&lt;&gt;"",Sched_Pay+Extra_Pay&lt;Beg_Bal),Sched_Pay+Extra_Pay,IF(Pay_Num&lt;&gt;"",Beg_Bal,""))</f>
        <v>0</v>
      </c>
      <c r="G362" s="70">
        <f>IF(Pay_Num&lt;&gt;"",Total_Pay-Int,"")</f>
        <v>0</v>
      </c>
      <c r="H362" s="70">
        <f>IF(Pay_Num&lt;&gt;"",Beg_Bal*Interest_Rate/Num_Pmt_Per_Year,"")</f>
        <v>0</v>
      </c>
      <c r="I362" s="70">
        <f>IF(AND(Pay_Num&lt;&gt;"",Sched_Pay+Extra_Pay&lt;Beg_Bal),Beg_Bal-Princ,IF(Pay_Num&lt;&gt;"",0,""))</f>
        <v>0</v>
      </c>
      <c r="J362" s="70">
        <f>SUM($H$18:$H362)</f>
        <v>431201.75350020552</v>
      </c>
    </row>
    <row r="363" spans="1:10" x14ac:dyDescent="0.3">
      <c r="A363" s="36">
        <f>IF(Values_Entered,A362+1,"")</f>
        <v>346</v>
      </c>
      <c r="B363" s="35">
        <f>IF(Pay_Num&lt;&gt;"",DATE(YEAR(Loan_Start),MONTH(Loan_Start)+(Pay_Num)*12/Num_Pmt_Per_Year,DAY(Loan_Start)),"")</f>
        <v>77779</v>
      </c>
      <c r="C363" s="70">
        <f>IF(Pay_Num&lt;&gt;"",I362,"")</f>
        <v>0</v>
      </c>
      <c r="D363" s="70">
        <f>IF(Pay_Num&lt;&gt;"",Scheduled_Monthly_Payment,"")</f>
        <v>71560.087675010276</v>
      </c>
      <c r="E363" s="71">
        <f>IF(AND(Pay_Num&lt;&gt;"",Sched_Pay+Scheduled_Extra_Payments&lt;Beg_Bal),Scheduled_Extra_Payments,IF(AND(Pay_Num&lt;&gt;"",Beg_Bal-Sched_Pay&gt;0),Beg_Bal-Sched_Pay,IF(Pay_Num&lt;&gt;"",0,"")))</f>
        <v>0</v>
      </c>
      <c r="F363" s="70">
        <f>IF(AND(Pay_Num&lt;&gt;"",Sched_Pay+Extra_Pay&lt;Beg_Bal),Sched_Pay+Extra_Pay,IF(Pay_Num&lt;&gt;"",Beg_Bal,""))</f>
        <v>0</v>
      </c>
      <c r="G363" s="70">
        <f>IF(Pay_Num&lt;&gt;"",Total_Pay-Int,"")</f>
        <v>0</v>
      </c>
      <c r="H363" s="70">
        <f>IF(Pay_Num&lt;&gt;"",Beg_Bal*Interest_Rate/Num_Pmt_Per_Year,"")</f>
        <v>0</v>
      </c>
      <c r="I363" s="70">
        <f>IF(AND(Pay_Num&lt;&gt;"",Sched_Pay+Extra_Pay&lt;Beg_Bal),Beg_Bal-Princ,IF(Pay_Num&lt;&gt;"",0,""))</f>
        <v>0</v>
      </c>
      <c r="J363" s="70">
        <f>SUM($H$18:$H363)</f>
        <v>431201.75350020552</v>
      </c>
    </row>
    <row r="364" spans="1:10" x14ac:dyDescent="0.3">
      <c r="A364" s="36">
        <f>IF(Values_Entered,A363+1,"")</f>
        <v>347</v>
      </c>
      <c r="B364" s="35">
        <f>IF(Pay_Num&lt;&gt;"",DATE(YEAR(Loan_Start),MONTH(Loan_Start)+(Pay_Num)*12/Num_Pmt_Per_Year,DAY(Loan_Start)),"")</f>
        <v>77869</v>
      </c>
      <c r="C364" s="70">
        <f>IF(Pay_Num&lt;&gt;"",I363,"")</f>
        <v>0</v>
      </c>
      <c r="D364" s="70">
        <f>IF(Pay_Num&lt;&gt;"",Scheduled_Monthly_Payment,"")</f>
        <v>71560.087675010276</v>
      </c>
      <c r="E364" s="71">
        <f>IF(AND(Pay_Num&lt;&gt;"",Sched_Pay+Scheduled_Extra_Payments&lt;Beg_Bal),Scheduled_Extra_Payments,IF(AND(Pay_Num&lt;&gt;"",Beg_Bal-Sched_Pay&gt;0),Beg_Bal-Sched_Pay,IF(Pay_Num&lt;&gt;"",0,"")))</f>
        <v>0</v>
      </c>
      <c r="F364" s="70">
        <f>IF(AND(Pay_Num&lt;&gt;"",Sched_Pay+Extra_Pay&lt;Beg_Bal),Sched_Pay+Extra_Pay,IF(Pay_Num&lt;&gt;"",Beg_Bal,""))</f>
        <v>0</v>
      </c>
      <c r="G364" s="70">
        <f>IF(Pay_Num&lt;&gt;"",Total_Pay-Int,"")</f>
        <v>0</v>
      </c>
      <c r="H364" s="70">
        <f>IF(Pay_Num&lt;&gt;"",Beg_Bal*Interest_Rate/Num_Pmt_Per_Year,"")</f>
        <v>0</v>
      </c>
      <c r="I364" s="70">
        <f>IF(AND(Pay_Num&lt;&gt;"",Sched_Pay+Extra_Pay&lt;Beg_Bal),Beg_Bal-Princ,IF(Pay_Num&lt;&gt;"",0,""))</f>
        <v>0</v>
      </c>
      <c r="J364" s="70">
        <f>SUM($H$18:$H364)</f>
        <v>431201.75350020552</v>
      </c>
    </row>
    <row r="365" spans="1:10" x14ac:dyDescent="0.3">
      <c r="A365" s="36">
        <f>IF(Values_Entered,A364+1,"")</f>
        <v>348</v>
      </c>
      <c r="B365" s="35">
        <f>IF(Pay_Num&lt;&gt;"",DATE(YEAR(Loan_Start),MONTH(Loan_Start)+(Pay_Num)*12/Num_Pmt_Per_Year,DAY(Loan_Start)),"")</f>
        <v>77961</v>
      </c>
      <c r="C365" s="70">
        <f>IF(Pay_Num&lt;&gt;"",I364,"")</f>
        <v>0</v>
      </c>
      <c r="D365" s="70">
        <f>IF(Pay_Num&lt;&gt;"",Scheduled_Monthly_Payment,"")</f>
        <v>71560.087675010276</v>
      </c>
      <c r="E365" s="71">
        <f>IF(AND(Pay_Num&lt;&gt;"",Sched_Pay+Scheduled_Extra_Payments&lt;Beg_Bal),Scheduled_Extra_Payments,IF(AND(Pay_Num&lt;&gt;"",Beg_Bal-Sched_Pay&gt;0),Beg_Bal-Sched_Pay,IF(Pay_Num&lt;&gt;"",0,"")))</f>
        <v>0</v>
      </c>
      <c r="F365" s="70">
        <f>IF(AND(Pay_Num&lt;&gt;"",Sched_Pay+Extra_Pay&lt;Beg_Bal),Sched_Pay+Extra_Pay,IF(Pay_Num&lt;&gt;"",Beg_Bal,""))</f>
        <v>0</v>
      </c>
      <c r="G365" s="70">
        <f>IF(Pay_Num&lt;&gt;"",Total_Pay-Int,"")</f>
        <v>0</v>
      </c>
      <c r="H365" s="70">
        <f>IF(Pay_Num&lt;&gt;"",Beg_Bal*Interest_Rate/Num_Pmt_Per_Year,"")</f>
        <v>0</v>
      </c>
      <c r="I365" s="70">
        <f>IF(AND(Pay_Num&lt;&gt;"",Sched_Pay+Extra_Pay&lt;Beg_Bal),Beg_Bal-Princ,IF(Pay_Num&lt;&gt;"",0,""))</f>
        <v>0</v>
      </c>
      <c r="J365" s="70">
        <f>SUM($H$18:$H365)</f>
        <v>431201.75350020552</v>
      </c>
    </row>
    <row r="366" spans="1:10" x14ac:dyDescent="0.3">
      <c r="A366" s="36">
        <f>IF(Values_Entered,A365+1,"")</f>
        <v>349</v>
      </c>
      <c r="B366" s="35">
        <f>IF(Pay_Num&lt;&gt;"",DATE(YEAR(Loan_Start),MONTH(Loan_Start)+(Pay_Num)*12/Num_Pmt_Per_Year,DAY(Loan_Start)),"")</f>
        <v>78053</v>
      </c>
      <c r="C366" s="70">
        <f>IF(Pay_Num&lt;&gt;"",I365,"")</f>
        <v>0</v>
      </c>
      <c r="D366" s="70">
        <f>IF(Pay_Num&lt;&gt;"",Scheduled_Monthly_Payment,"")</f>
        <v>71560.087675010276</v>
      </c>
      <c r="E366" s="71">
        <f>IF(AND(Pay_Num&lt;&gt;"",Sched_Pay+Scheduled_Extra_Payments&lt;Beg_Bal),Scheduled_Extra_Payments,IF(AND(Pay_Num&lt;&gt;"",Beg_Bal-Sched_Pay&gt;0),Beg_Bal-Sched_Pay,IF(Pay_Num&lt;&gt;"",0,"")))</f>
        <v>0</v>
      </c>
      <c r="F366" s="70">
        <f>IF(AND(Pay_Num&lt;&gt;"",Sched_Pay+Extra_Pay&lt;Beg_Bal),Sched_Pay+Extra_Pay,IF(Pay_Num&lt;&gt;"",Beg_Bal,""))</f>
        <v>0</v>
      </c>
      <c r="G366" s="70">
        <f>IF(Pay_Num&lt;&gt;"",Total_Pay-Int,"")</f>
        <v>0</v>
      </c>
      <c r="H366" s="70">
        <f>IF(Pay_Num&lt;&gt;"",Beg_Bal*Interest_Rate/Num_Pmt_Per_Year,"")</f>
        <v>0</v>
      </c>
      <c r="I366" s="70">
        <f>IF(AND(Pay_Num&lt;&gt;"",Sched_Pay+Extra_Pay&lt;Beg_Bal),Beg_Bal-Princ,IF(Pay_Num&lt;&gt;"",0,""))</f>
        <v>0</v>
      </c>
      <c r="J366" s="70">
        <f>SUM($H$18:$H366)</f>
        <v>431201.75350020552</v>
      </c>
    </row>
    <row r="367" spans="1:10" x14ac:dyDescent="0.3">
      <c r="A367" s="36">
        <f>IF(Values_Entered,A366+1,"")</f>
        <v>350</v>
      </c>
      <c r="B367" s="35">
        <f>IF(Pay_Num&lt;&gt;"",DATE(YEAR(Loan_Start),MONTH(Loan_Start)+(Pay_Num)*12/Num_Pmt_Per_Year,DAY(Loan_Start)),"")</f>
        <v>78144</v>
      </c>
      <c r="C367" s="70">
        <f>IF(Pay_Num&lt;&gt;"",I366,"")</f>
        <v>0</v>
      </c>
      <c r="D367" s="70">
        <f>IF(Pay_Num&lt;&gt;"",Scheduled_Monthly_Payment,"")</f>
        <v>71560.087675010276</v>
      </c>
      <c r="E367" s="71">
        <f>IF(AND(Pay_Num&lt;&gt;"",Sched_Pay+Scheduled_Extra_Payments&lt;Beg_Bal),Scheduled_Extra_Payments,IF(AND(Pay_Num&lt;&gt;"",Beg_Bal-Sched_Pay&gt;0),Beg_Bal-Sched_Pay,IF(Pay_Num&lt;&gt;"",0,"")))</f>
        <v>0</v>
      </c>
      <c r="F367" s="70">
        <f>IF(AND(Pay_Num&lt;&gt;"",Sched_Pay+Extra_Pay&lt;Beg_Bal),Sched_Pay+Extra_Pay,IF(Pay_Num&lt;&gt;"",Beg_Bal,""))</f>
        <v>0</v>
      </c>
      <c r="G367" s="70">
        <f>IF(Pay_Num&lt;&gt;"",Total_Pay-Int,"")</f>
        <v>0</v>
      </c>
      <c r="H367" s="70">
        <f>IF(Pay_Num&lt;&gt;"",Beg_Bal*Interest_Rate/Num_Pmt_Per_Year,"")</f>
        <v>0</v>
      </c>
      <c r="I367" s="70">
        <f>IF(AND(Pay_Num&lt;&gt;"",Sched_Pay+Extra_Pay&lt;Beg_Bal),Beg_Bal-Princ,IF(Pay_Num&lt;&gt;"",0,""))</f>
        <v>0</v>
      </c>
      <c r="J367" s="70">
        <f>SUM($H$18:$H367)</f>
        <v>431201.75350020552</v>
      </c>
    </row>
    <row r="368" spans="1:10" x14ac:dyDescent="0.3">
      <c r="A368" s="36">
        <f>IF(Values_Entered,A367+1,"")</f>
        <v>351</v>
      </c>
      <c r="B368" s="35">
        <f>IF(Pay_Num&lt;&gt;"",DATE(YEAR(Loan_Start),MONTH(Loan_Start)+(Pay_Num)*12/Num_Pmt_Per_Year,DAY(Loan_Start)),"")</f>
        <v>78234</v>
      </c>
      <c r="C368" s="70">
        <f>IF(Pay_Num&lt;&gt;"",I367,"")</f>
        <v>0</v>
      </c>
      <c r="D368" s="70">
        <f>IF(Pay_Num&lt;&gt;"",Scheduled_Monthly_Payment,"")</f>
        <v>71560.087675010276</v>
      </c>
      <c r="E368" s="71">
        <f>IF(AND(Pay_Num&lt;&gt;"",Sched_Pay+Scheduled_Extra_Payments&lt;Beg_Bal),Scheduled_Extra_Payments,IF(AND(Pay_Num&lt;&gt;"",Beg_Bal-Sched_Pay&gt;0),Beg_Bal-Sched_Pay,IF(Pay_Num&lt;&gt;"",0,"")))</f>
        <v>0</v>
      </c>
      <c r="F368" s="70">
        <f>IF(AND(Pay_Num&lt;&gt;"",Sched_Pay+Extra_Pay&lt;Beg_Bal),Sched_Pay+Extra_Pay,IF(Pay_Num&lt;&gt;"",Beg_Bal,""))</f>
        <v>0</v>
      </c>
      <c r="G368" s="70">
        <f>IF(Pay_Num&lt;&gt;"",Total_Pay-Int,"")</f>
        <v>0</v>
      </c>
      <c r="H368" s="70">
        <f>IF(Pay_Num&lt;&gt;"",Beg_Bal*Interest_Rate/Num_Pmt_Per_Year,"")</f>
        <v>0</v>
      </c>
      <c r="I368" s="70">
        <f>IF(AND(Pay_Num&lt;&gt;"",Sched_Pay+Extra_Pay&lt;Beg_Bal),Beg_Bal-Princ,IF(Pay_Num&lt;&gt;"",0,""))</f>
        <v>0</v>
      </c>
      <c r="J368" s="70">
        <f>SUM($H$18:$H368)</f>
        <v>431201.75350020552</v>
      </c>
    </row>
    <row r="369" spans="1:10" x14ac:dyDescent="0.3">
      <c r="A369" s="36">
        <f>IF(Values_Entered,A368+1,"")</f>
        <v>352</v>
      </c>
      <c r="B369" s="35">
        <f>IF(Pay_Num&lt;&gt;"",DATE(YEAR(Loan_Start),MONTH(Loan_Start)+(Pay_Num)*12/Num_Pmt_Per_Year,DAY(Loan_Start)),"")</f>
        <v>78326</v>
      </c>
      <c r="C369" s="70">
        <f>IF(Pay_Num&lt;&gt;"",I368,"")</f>
        <v>0</v>
      </c>
      <c r="D369" s="70">
        <f>IF(Pay_Num&lt;&gt;"",Scheduled_Monthly_Payment,"")</f>
        <v>71560.087675010276</v>
      </c>
      <c r="E369" s="71">
        <f>IF(AND(Pay_Num&lt;&gt;"",Sched_Pay+Scheduled_Extra_Payments&lt;Beg_Bal),Scheduled_Extra_Payments,IF(AND(Pay_Num&lt;&gt;"",Beg_Bal-Sched_Pay&gt;0),Beg_Bal-Sched_Pay,IF(Pay_Num&lt;&gt;"",0,"")))</f>
        <v>0</v>
      </c>
      <c r="F369" s="70">
        <f>IF(AND(Pay_Num&lt;&gt;"",Sched_Pay+Extra_Pay&lt;Beg_Bal),Sched_Pay+Extra_Pay,IF(Pay_Num&lt;&gt;"",Beg_Bal,""))</f>
        <v>0</v>
      </c>
      <c r="G369" s="70">
        <f>IF(Pay_Num&lt;&gt;"",Total_Pay-Int,"")</f>
        <v>0</v>
      </c>
      <c r="H369" s="70">
        <f>IF(Pay_Num&lt;&gt;"",Beg_Bal*Interest_Rate/Num_Pmt_Per_Year,"")</f>
        <v>0</v>
      </c>
      <c r="I369" s="70">
        <f>IF(AND(Pay_Num&lt;&gt;"",Sched_Pay+Extra_Pay&lt;Beg_Bal),Beg_Bal-Princ,IF(Pay_Num&lt;&gt;"",0,""))</f>
        <v>0</v>
      </c>
      <c r="J369" s="70">
        <f>SUM($H$18:$H369)</f>
        <v>431201.75350020552</v>
      </c>
    </row>
    <row r="370" spans="1:10" x14ac:dyDescent="0.3">
      <c r="A370" s="36">
        <f>IF(Values_Entered,A369+1,"")</f>
        <v>353</v>
      </c>
      <c r="B370" s="35">
        <f>IF(Pay_Num&lt;&gt;"",DATE(YEAR(Loan_Start),MONTH(Loan_Start)+(Pay_Num)*12/Num_Pmt_Per_Year,DAY(Loan_Start)),"")</f>
        <v>78418</v>
      </c>
      <c r="C370" s="70">
        <f>IF(Pay_Num&lt;&gt;"",I369,"")</f>
        <v>0</v>
      </c>
      <c r="D370" s="70">
        <f>IF(Pay_Num&lt;&gt;"",Scheduled_Monthly_Payment,"")</f>
        <v>71560.087675010276</v>
      </c>
      <c r="E370" s="71">
        <f>IF(AND(Pay_Num&lt;&gt;"",Sched_Pay+Scheduled_Extra_Payments&lt;Beg_Bal),Scheduled_Extra_Payments,IF(AND(Pay_Num&lt;&gt;"",Beg_Bal-Sched_Pay&gt;0),Beg_Bal-Sched_Pay,IF(Pay_Num&lt;&gt;"",0,"")))</f>
        <v>0</v>
      </c>
      <c r="F370" s="70">
        <f>IF(AND(Pay_Num&lt;&gt;"",Sched_Pay+Extra_Pay&lt;Beg_Bal),Sched_Pay+Extra_Pay,IF(Pay_Num&lt;&gt;"",Beg_Bal,""))</f>
        <v>0</v>
      </c>
      <c r="G370" s="70">
        <f>IF(Pay_Num&lt;&gt;"",Total_Pay-Int,"")</f>
        <v>0</v>
      </c>
      <c r="H370" s="70">
        <f>IF(Pay_Num&lt;&gt;"",Beg_Bal*Interest_Rate/Num_Pmt_Per_Year,"")</f>
        <v>0</v>
      </c>
      <c r="I370" s="70">
        <f>IF(AND(Pay_Num&lt;&gt;"",Sched_Pay+Extra_Pay&lt;Beg_Bal),Beg_Bal-Princ,IF(Pay_Num&lt;&gt;"",0,""))</f>
        <v>0</v>
      </c>
      <c r="J370" s="70">
        <f>SUM($H$18:$H370)</f>
        <v>431201.75350020552</v>
      </c>
    </row>
    <row r="371" spans="1:10" x14ac:dyDescent="0.3">
      <c r="A371" s="36">
        <f>IF(Values_Entered,A370+1,"")</f>
        <v>354</v>
      </c>
      <c r="B371" s="35">
        <f>IF(Pay_Num&lt;&gt;"",DATE(YEAR(Loan_Start),MONTH(Loan_Start)+(Pay_Num)*12/Num_Pmt_Per_Year,DAY(Loan_Start)),"")</f>
        <v>78509</v>
      </c>
      <c r="C371" s="70">
        <f>IF(Pay_Num&lt;&gt;"",I370,"")</f>
        <v>0</v>
      </c>
      <c r="D371" s="70">
        <f>IF(Pay_Num&lt;&gt;"",Scheduled_Monthly_Payment,"")</f>
        <v>71560.087675010276</v>
      </c>
      <c r="E371" s="71">
        <f>IF(AND(Pay_Num&lt;&gt;"",Sched_Pay+Scheduled_Extra_Payments&lt;Beg_Bal),Scheduled_Extra_Payments,IF(AND(Pay_Num&lt;&gt;"",Beg_Bal-Sched_Pay&gt;0),Beg_Bal-Sched_Pay,IF(Pay_Num&lt;&gt;"",0,"")))</f>
        <v>0</v>
      </c>
      <c r="F371" s="70">
        <f>IF(AND(Pay_Num&lt;&gt;"",Sched_Pay+Extra_Pay&lt;Beg_Bal),Sched_Pay+Extra_Pay,IF(Pay_Num&lt;&gt;"",Beg_Bal,""))</f>
        <v>0</v>
      </c>
      <c r="G371" s="70">
        <f>IF(Pay_Num&lt;&gt;"",Total_Pay-Int,"")</f>
        <v>0</v>
      </c>
      <c r="H371" s="70">
        <f>IF(Pay_Num&lt;&gt;"",Beg_Bal*Interest_Rate/Num_Pmt_Per_Year,"")</f>
        <v>0</v>
      </c>
      <c r="I371" s="70">
        <f>IF(AND(Pay_Num&lt;&gt;"",Sched_Pay+Extra_Pay&lt;Beg_Bal),Beg_Bal-Princ,IF(Pay_Num&lt;&gt;"",0,""))</f>
        <v>0</v>
      </c>
      <c r="J371" s="70">
        <f>SUM($H$18:$H371)</f>
        <v>431201.75350020552</v>
      </c>
    </row>
    <row r="372" spans="1:10" x14ac:dyDescent="0.3">
      <c r="A372" s="36">
        <f>IF(Values_Entered,A371+1,"")</f>
        <v>355</v>
      </c>
      <c r="B372" s="35">
        <f>IF(Pay_Num&lt;&gt;"",DATE(YEAR(Loan_Start),MONTH(Loan_Start)+(Pay_Num)*12/Num_Pmt_Per_Year,DAY(Loan_Start)),"")</f>
        <v>78599</v>
      </c>
      <c r="C372" s="70">
        <f>IF(Pay_Num&lt;&gt;"",I371,"")</f>
        <v>0</v>
      </c>
      <c r="D372" s="70">
        <f>IF(Pay_Num&lt;&gt;"",Scheduled_Monthly_Payment,"")</f>
        <v>71560.087675010276</v>
      </c>
      <c r="E372" s="71">
        <f>IF(AND(Pay_Num&lt;&gt;"",Sched_Pay+Scheduled_Extra_Payments&lt;Beg_Bal),Scheduled_Extra_Payments,IF(AND(Pay_Num&lt;&gt;"",Beg_Bal-Sched_Pay&gt;0),Beg_Bal-Sched_Pay,IF(Pay_Num&lt;&gt;"",0,"")))</f>
        <v>0</v>
      </c>
      <c r="F372" s="70">
        <f>IF(AND(Pay_Num&lt;&gt;"",Sched_Pay+Extra_Pay&lt;Beg_Bal),Sched_Pay+Extra_Pay,IF(Pay_Num&lt;&gt;"",Beg_Bal,""))</f>
        <v>0</v>
      </c>
      <c r="G372" s="70">
        <f>IF(Pay_Num&lt;&gt;"",Total_Pay-Int,"")</f>
        <v>0</v>
      </c>
      <c r="H372" s="70">
        <f>IF(Pay_Num&lt;&gt;"",Beg_Bal*Interest_Rate/Num_Pmt_Per_Year,"")</f>
        <v>0</v>
      </c>
      <c r="I372" s="70">
        <f>IF(AND(Pay_Num&lt;&gt;"",Sched_Pay+Extra_Pay&lt;Beg_Bal),Beg_Bal-Princ,IF(Pay_Num&lt;&gt;"",0,""))</f>
        <v>0</v>
      </c>
      <c r="J372" s="70">
        <f>SUM($H$18:$H372)</f>
        <v>431201.75350020552</v>
      </c>
    </row>
    <row r="373" spans="1:10" x14ac:dyDescent="0.3">
      <c r="A373" s="36">
        <f>IF(Values_Entered,A372+1,"")</f>
        <v>356</v>
      </c>
      <c r="B373" s="35">
        <f>IF(Pay_Num&lt;&gt;"",DATE(YEAR(Loan_Start),MONTH(Loan_Start)+(Pay_Num)*12/Num_Pmt_Per_Year,DAY(Loan_Start)),"")</f>
        <v>78691</v>
      </c>
      <c r="C373" s="70">
        <f>IF(Pay_Num&lt;&gt;"",I372,"")</f>
        <v>0</v>
      </c>
      <c r="D373" s="70">
        <f>IF(Pay_Num&lt;&gt;"",Scheduled_Monthly_Payment,"")</f>
        <v>71560.087675010276</v>
      </c>
      <c r="E373" s="71">
        <f>IF(AND(Pay_Num&lt;&gt;"",Sched_Pay+Scheduled_Extra_Payments&lt;Beg_Bal),Scheduled_Extra_Payments,IF(AND(Pay_Num&lt;&gt;"",Beg_Bal-Sched_Pay&gt;0),Beg_Bal-Sched_Pay,IF(Pay_Num&lt;&gt;"",0,"")))</f>
        <v>0</v>
      </c>
      <c r="F373" s="70">
        <f>IF(AND(Pay_Num&lt;&gt;"",Sched_Pay+Extra_Pay&lt;Beg_Bal),Sched_Pay+Extra_Pay,IF(Pay_Num&lt;&gt;"",Beg_Bal,""))</f>
        <v>0</v>
      </c>
      <c r="G373" s="70">
        <f>IF(Pay_Num&lt;&gt;"",Total_Pay-Int,"")</f>
        <v>0</v>
      </c>
      <c r="H373" s="70">
        <f>IF(Pay_Num&lt;&gt;"",Beg_Bal*Interest_Rate/Num_Pmt_Per_Year,"")</f>
        <v>0</v>
      </c>
      <c r="I373" s="70">
        <f>IF(AND(Pay_Num&lt;&gt;"",Sched_Pay+Extra_Pay&lt;Beg_Bal),Beg_Bal-Princ,IF(Pay_Num&lt;&gt;"",0,""))</f>
        <v>0</v>
      </c>
      <c r="J373" s="70">
        <f>SUM($H$18:$H373)</f>
        <v>431201.75350020552</v>
      </c>
    </row>
    <row r="374" spans="1:10" x14ac:dyDescent="0.3">
      <c r="A374" s="36">
        <f>IF(Values_Entered,A373+1,"")</f>
        <v>357</v>
      </c>
      <c r="B374" s="35">
        <f>IF(Pay_Num&lt;&gt;"",DATE(YEAR(Loan_Start),MONTH(Loan_Start)+(Pay_Num)*12/Num_Pmt_Per_Year,DAY(Loan_Start)),"")</f>
        <v>78783</v>
      </c>
      <c r="C374" s="70">
        <f>IF(Pay_Num&lt;&gt;"",I373,"")</f>
        <v>0</v>
      </c>
      <c r="D374" s="70">
        <f>IF(Pay_Num&lt;&gt;"",Scheduled_Monthly_Payment,"")</f>
        <v>71560.087675010276</v>
      </c>
      <c r="E374" s="71">
        <f>IF(AND(Pay_Num&lt;&gt;"",Sched_Pay+Scheduled_Extra_Payments&lt;Beg_Bal),Scheduled_Extra_Payments,IF(AND(Pay_Num&lt;&gt;"",Beg_Bal-Sched_Pay&gt;0),Beg_Bal-Sched_Pay,IF(Pay_Num&lt;&gt;"",0,"")))</f>
        <v>0</v>
      </c>
      <c r="F374" s="70">
        <f>IF(AND(Pay_Num&lt;&gt;"",Sched_Pay+Extra_Pay&lt;Beg_Bal),Sched_Pay+Extra_Pay,IF(Pay_Num&lt;&gt;"",Beg_Bal,""))</f>
        <v>0</v>
      </c>
      <c r="G374" s="70">
        <f>IF(Pay_Num&lt;&gt;"",Total_Pay-Int,"")</f>
        <v>0</v>
      </c>
      <c r="H374" s="70">
        <f>IF(Pay_Num&lt;&gt;"",Beg_Bal*Interest_Rate/Num_Pmt_Per_Year,"")</f>
        <v>0</v>
      </c>
      <c r="I374" s="70">
        <f>IF(AND(Pay_Num&lt;&gt;"",Sched_Pay+Extra_Pay&lt;Beg_Bal),Beg_Bal-Princ,IF(Pay_Num&lt;&gt;"",0,""))</f>
        <v>0</v>
      </c>
      <c r="J374" s="70">
        <f>SUM($H$18:$H374)</f>
        <v>431201.75350020552</v>
      </c>
    </row>
    <row r="375" spans="1:10" x14ac:dyDescent="0.3">
      <c r="A375" s="36">
        <f>IF(Values_Entered,A374+1,"")</f>
        <v>358</v>
      </c>
      <c r="B375" s="35">
        <f>IF(Pay_Num&lt;&gt;"",DATE(YEAR(Loan_Start),MONTH(Loan_Start)+(Pay_Num)*12/Num_Pmt_Per_Year,DAY(Loan_Start)),"")</f>
        <v>78874</v>
      </c>
      <c r="C375" s="70">
        <f>IF(Pay_Num&lt;&gt;"",I374,"")</f>
        <v>0</v>
      </c>
      <c r="D375" s="70">
        <f>IF(Pay_Num&lt;&gt;"",Scheduled_Monthly_Payment,"")</f>
        <v>71560.087675010276</v>
      </c>
      <c r="E375" s="71">
        <f>IF(AND(Pay_Num&lt;&gt;"",Sched_Pay+Scheduled_Extra_Payments&lt;Beg_Bal),Scheduled_Extra_Payments,IF(AND(Pay_Num&lt;&gt;"",Beg_Bal-Sched_Pay&gt;0),Beg_Bal-Sched_Pay,IF(Pay_Num&lt;&gt;"",0,"")))</f>
        <v>0</v>
      </c>
      <c r="F375" s="70">
        <f>IF(AND(Pay_Num&lt;&gt;"",Sched_Pay+Extra_Pay&lt;Beg_Bal),Sched_Pay+Extra_Pay,IF(Pay_Num&lt;&gt;"",Beg_Bal,""))</f>
        <v>0</v>
      </c>
      <c r="G375" s="70">
        <f>IF(Pay_Num&lt;&gt;"",Total_Pay-Int,"")</f>
        <v>0</v>
      </c>
      <c r="H375" s="70">
        <f>IF(Pay_Num&lt;&gt;"",Beg_Bal*Interest_Rate/Num_Pmt_Per_Year,"")</f>
        <v>0</v>
      </c>
      <c r="I375" s="70">
        <f>IF(AND(Pay_Num&lt;&gt;"",Sched_Pay+Extra_Pay&lt;Beg_Bal),Beg_Bal-Princ,IF(Pay_Num&lt;&gt;"",0,""))</f>
        <v>0</v>
      </c>
      <c r="J375" s="70">
        <f>SUM($H$18:$H375)</f>
        <v>431201.75350020552</v>
      </c>
    </row>
    <row r="376" spans="1:10" x14ac:dyDescent="0.3">
      <c r="A376" s="36">
        <f>IF(Values_Entered,A375+1,"")</f>
        <v>359</v>
      </c>
      <c r="B376" s="35">
        <f>IF(Pay_Num&lt;&gt;"",DATE(YEAR(Loan_Start),MONTH(Loan_Start)+(Pay_Num)*12/Num_Pmt_Per_Year,DAY(Loan_Start)),"")</f>
        <v>78965</v>
      </c>
      <c r="C376" s="70">
        <f>IF(Pay_Num&lt;&gt;"",I375,"")</f>
        <v>0</v>
      </c>
      <c r="D376" s="70">
        <f>IF(Pay_Num&lt;&gt;"",Scheduled_Monthly_Payment,"")</f>
        <v>71560.087675010276</v>
      </c>
      <c r="E376" s="71">
        <f>IF(AND(Pay_Num&lt;&gt;"",Sched_Pay+Scheduled_Extra_Payments&lt;Beg_Bal),Scheduled_Extra_Payments,IF(AND(Pay_Num&lt;&gt;"",Beg_Bal-Sched_Pay&gt;0),Beg_Bal-Sched_Pay,IF(Pay_Num&lt;&gt;"",0,"")))</f>
        <v>0</v>
      </c>
      <c r="F376" s="70">
        <f>IF(AND(Pay_Num&lt;&gt;"",Sched_Pay+Extra_Pay&lt;Beg_Bal),Sched_Pay+Extra_Pay,IF(Pay_Num&lt;&gt;"",Beg_Bal,""))</f>
        <v>0</v>
      </c>
      <c r="G376" s="70">
        <f>IF(Pay_Num&lt;&gt;"",Total_Pay-Int,"")</f>
        <v>0</v>
      </c>
      <c r="H376" s="70">
        <f>IF(Pay_Num&lt;&gt;"",Beg_Bal*Interest_Rate/Num_Pmt_Per_Year,"")</f>
        <v>0</v>
      </c>
      <c r="I376" s="70">
        <f>IF(AND(Pay_Num&lt;&gt;"",Sched_Pay+Extra_Pay&lt;Beg_Bal),Beg_Bal-Princ,IF(Pay_Num&lt;&gt;"",0,""))</f>
        <v>0</v>
      </c>
      <c r="J376" s="70">
        <f>SUM($H$18:$H376)</f>
        <v>431201.75350020552</v>
      </c>
    </row>
    <row r="377" spans="1:10" x14ac:dyDescent="0.3">
      <c r="A377" s="36">
        <f>IF(Values_Entered,A376+1,"")</f>
        <v>360</v>
      </c>
      <c r="B377" s="35">
        <f>IF(Pay_Num&lt;&gt;"",DATE(YEAR(Loan_Start),MONTH(Loan_Start)+(Pay_Num)*12/Num_Pmt_Per_Year,DAY(Loan_Start)),"")</f>
        <v>79057</v>
      </c>
      <c r="C377" s="70">
        <f>IF(Pay_Num&lt;&gt;"",I376,"")</f>
        <v>0</v>
      </c>
      <c r="D377" s="70">
        <f>IF(Pay_Num&lt;&gt;"",Scheduled_Monthly_Payment,"")</f>
        <v>71560.087675010276</v>
      </c>
      <c r="E377" s="71">
        <f>IF(AND(Pay_Num&lt;&gt;"",Sched_Pay+Scheduled_Extra_Payments&lt;Beg_Bal),Scheduled_Extra_Payments,IF(AND(Pay_Num&lt;&gt;"",Beg_Bal-Sched_Pay&gt;0),Beg_Bal-Sched_Pay,IF(Pay_Num&lt;&gt;"",0,"")))</f>
        <v>0</v>
      </c>
      <c r="F377" s="70">
        <f>IF(AND(Pay_Num&lt;&gt;"",Sched_Pay+Extra_Pay&lt;Beg_Bal),Sched_Pay+Extra_Pay,IF(Pay_Num&lt;&gt;"",Beg_Bal,""))</f>
        <v>0</v>
      </c>
      <c r="G377" s="70">
        <f>IF(Pay_Num&lt;&gt;"",Total_Pay-Int,"")</f>
        <v>0</v>
      </c>
      <c r="H377" s="70">
        <f>IF(Pay_Num&lt;&gt;"",Beg_Bal*Interest_Rate/Num_Pmt_Per_Year,"")</f>
        <v>0</v>
      </c>
      <c r="I377" s="70">
        <f>IF(AND(Pay_Num&lt;&gt;"",Sched_Pay+Extra_Pay&lt;Beg_Bal),Beg_Bal-Princ,IF(Pay_Num&lt;&gt;"",0,""))</f>
        <v>0</v>
      </c>
      <c r="J377" s="70">
        <f>SUM($H$18:$H377)</f>
        <v>431201.75350020552</v>
      </c>
    </row>
    <row r="378" spans="1:10" x14ac:dyDescent="0.3">
      <c r="A378" s="36">
        <f>IF(Values_Entered,A377+1,"")</f>
        <v>361</v>
      </c>
      <c r="B378" s="35">
        <f>IF(Pay_Num&lt;&gt;"",DATE(YEAR(Loan_Start),MONTH(Loan_Start)+(Pay_Num)*12/Num_Pmt_Per_Year,DAY(Loan_Start)),"")</f>
        <v>79149</v>
      </c>
      <c r="C378" s="70">
        <f>IF(Pay_Num&lt;&gt;"",I377,"")</f>
        <v>0</v>
      </c>
      <c r="D378" s="70">
        <f>IF(Pay_Num&lt;&gt;"",Scheduled_Monthly_Payment,"")</f>
        <v>71560.087675010276</v>
      </c>
      <c r="E378" s="71">
        <f>IF(AND(Pay_Num&lt;&gt;"",Sched_Pay+Scheduled_Extra_Payments&lt;Beg_Bal),Scheduled_Extra_Payments,IF(AND(Pay_Num&lt;&gt;"",Beg_Bal-Sched_Pay&gt;0),Beg_Bal-Sched_Pay,IF(Pay_Num&lt;&gt;"",0,"")))</f>
        <v>0</v>
      </c>
      <c r="F378" s="70">
        <f>IF(AND(Pay_Num&lt;&gt;"",Sched_Pay+Extra_Pay&lt;Beg_Bal),Sched_Pay+Extra_Pay,IF(Pay_Num&lt;&gt;"",Beg_Bal,""))</f>
        <v>0</v>
      </c>
      <c r="G378" s="70">
        <f>IF(Pay_Num&lt;&gt;"",Total_Pay-Int,"")</f>
        <v>0</v>
      </c>
      <c r="H378" s="70">
        <f>IF(Pay_Num&lt;&gt;"",Beg_Bal*Interest_Rate/Num_Pmt_Per_Year,"")</f>
        <v>0</v>
      </c>
      <c r="I378" s="70">
        <f>IF(AND(Pay_Num&lt;&gt;"",Sched_Pay+Extra_Pay&lt;Beg_Bal),Beg_Bal-Princ,IF(Pay_Num&lt;&gt;"",0,""))</f>
        <v>0</v>
      </c>
      <c r="J378" s="70">
        <f>SUM($H$18:$H378)</f>
        <v>431201.75350020552</v>
      </c>
    </row>
    <row r="379" spans="1:10" x14ac:dyDescent="0.3">
      <c r="A379" s="36">
        <f>IF(Values_Entered,A378+1,"")</f>
        <v>362</v>
      </c>
      <c r="B379" s="35">
        <f>IF(Pay_Num&lt;&gt;"",DATE(YEAR(Loan_Start),MONTH(Loan_Start)+(Pay_Num)*12/Num_Pmt_Per_Year,DAY(Loan_Start)),"")</f>
        <v>79240</v>
      </c>
      <c r="C379" s="70">
        <f>IF(Pay_Num&lt;&gt;"",I378,"")</f>
        <v>0</v>
      </c>
      <c r="D379" s="70">
        <f>IF(Pay_Num&lt;&gt;"",Scheduled_Monthly_Payment,"")</f>
        <v>71560.087675010276</v>
      </c>
      <c r="E379" s="71">
        <f>IF(AND(Pay_Num&lt;&gt;"",Sched_Pay+Scheduled_Extra_Payments&lt;Beg_Bal),Scheduled_Extra_Payments,IF(AND(Pay_Num&lt;&gt;"",Beg_Bal-Sched_Pay&gt;0),Beg_Bal-Sched_Pay,IF(Pay_Num&lt;&gt;"",0,"")))</f>
        <v>0</v>
      </c>
      <c r="F379" s="70">
        <f>IF(AND(Pay_Num&lt;&gt;"",Sched_Pay+Extra_Pay&lt;Beg_Bal),Sched_Pay+Extra_Pay,IF(Pay_Num&lt;&gt;"",Beg_Bal,""))</f>
        <v>0</v>
      </c>
      <c r="G379" s="70">
        <f>IF(Pay_Num&lt;&gt;"",Total_Pay-Int,"")</f>
        <v>0</v>
      </c>
      <c r="H379" s="70">
        <f>IF(Pay_Num&lt;&gt;"",Beg_Bal*Interest_Rate/Num_Pmt_Per_Year,"")</f>
        <v>0</v>
      </c>
      <c r="I379" s="70">
        <f>IF(AND(Pay_Num&lt;&gt;"",Sched_Pay+Extra_Pay&lt;Beg_Bal),Beg_Bal-Princ,IF(Pay_Num&lt;&gt;"",0,""))</f>
        <v>0</v>
      </c>
      <c r="J379" s="70">
        <f>SUM($H$18:$H379)</f>
        <v>431201.75350020552</v>
      </c>
    </row>
    <row r="380" spans="1:10" x14ac:dyDescent="0.3">
      <c r="A380" s="36">
        <f>IF(Values_Entered,A379+1,"")</f>
        <v>363</v>
      </c>
      <c r="B380" s="35">
        <f>IF(Pay_Num&lt;&gt;"",DATE(YEAR(Loan_Start),MONTH(Loan_Start)+(Pay_Num)*12/Num_Pmt_Per_Year,DAY(Loan_Start)),"")</f>
        <v>79330</v>
      </c>
      <c r="C380" s="70">
        <f>IF(Pay_Num&lt;&gt;"",I379,"")</f>
        <v>0</v>
      </c>
      <c r="D380" s="70">
        <f>IF(Pay_Num&lt;&gt;"",Scheduled_Monthly_Payment,"")</f>
        <v>71560.087675010276</v>
      </c>
      <c r="E380" s="71">
        <f>IF(AND(Pay_Num&lt;&gt;"",Sched_Pay+Scheduled_Extra_Payments&lt;Beg_Bal),Scheduled_Extra_Payments,IF(AND(Pay_Num&lt;&gt;"",Beg_Bal-Sched_Pay&gt;0),Beg_Bal-Sched_Pay,IF(Pay_Num&lt;&gt;"",0,"")))</f>
        <v>0</v>
      </c>
      <c r="F380" s="70">
        <f>IF(AND(Pay_Num&lt;&gt;"",Sched_Pay+Extra_Pay&lt;Beg_Bal),Sched_Pay+Extra_Pay,IF(Pay_Num&lt;&gt;"",Beg_Bal,""))</f>
        <v>0</v>
      </c>
      <c r="G380" s="70">
        <f>IF(Pay_Num&lt;&gt;"",Total_Pay-Int,"")</f>
        <v>0</v>
      </c>
      <c r="H380" s="70">
        <f>IF(Pay_Num&lt;&gt;"",Beg_Bal*Interest_Rate/Num_Pmt_Per_Year,"")</f>
        <v>0</v>
      </c>
      <c r="I380" s="70">
        <f>IF(AND(Pay_Num&lt;&gt;"",Sched_Pay+Extra_Pay&lt;Beg_Bal),Beg_Bal-Princ,IF(Pay_Num&lt;&gt;"",0,""))</f>
        <v>0</v>
      </c>
      <c r="J380" s="70">
        <f>SUM($H$18:$H380)</f>
        <v>431201.75350020552</v>
      </c>
    </row>
    <row r="381" spans="1:10" x14ac:dyDescent="0.3">
      <c r="A381" s="36">
        <f>IF(Values_Entered,A380+1,"")</f>
        <v>364</v>
      </c>
      <c r="B381" s="35">
        <f>IF(Pay_Num&lt;&gt;"",DATE(YEAR(Loan_Start),MONTH(Loan_Start)+(Pay_Num)*12/Num_Pmt_Per_Year,DAY(Loan_Start)),"")</f>
        <v>79422</v>
      </c>
      <c r="C381" s="70">
        <f>IF(Pay_Num&lt;&gt;"",I380,"")</f>
        <v>0</v>
      </c>
      <c r="D381" s="70">
        <f>IF(Pay_Num&lt;&gt;"",Scheduled_Monthly_Payment,"")</f>
        <v>71560.087675010276</v>
      </c>
      <c r="E381" s="71">
        <f>IF(AND(Pay_Num&lt;&gt;"",Sched_Pay+Scheduled_Extra_Payments&lt;Beg_Bal),Scheduled_Extra_Payments,IF(AND(Pay_Num&lt;&gt;"",Beg_Bal-Sched_Pay&gt;0),Beg_Bal-Sched_Pay,IF(Pay_Num&lt;&gt;"",0,"")))</f>
        <v>0</v>
      </c>
      <c r="F381" s="70">
        <f>IF(AND(Pay_Num&lt;&gt;"",Sched_Pay+Extra_Pay&lt;Beg_Bal),Sched_Pay+Extra_Pay,IF(Pay_Num&lt;&gt;"",Beg_Bal,""))</f>
        <v>0</v>
      </c>
      <c r="G381" s="70">
        <f>IF(Pay_Num&lt;&gt;"",Total_Pay-Int,"")</f>
        <v>0</v>
      </c>
      <c r="H381" s="70">
        <f>IF(Pay_Num&lt;&gt;"",Beg_Bal*Interest_Rate/Num_Pmt_Per_Year,"")</f>
        <v>0</v>
      </c>
      <c r="I381" s="70">
        <f>IF(AND(Pay_Num&lt;&gt;"",Sched_Pay+Extra_Pay&lt;Beg_Bal),Beg_Bal-Princ,IF(Pay_Num&lt;&gt;"",0,""))</f>
        <v>0</v>
      </c>
      <c r="J381" s="70">
        <f>SUM($H$18:$H381)</f>
        <v>431201.75350020552</v>
      </c>
    </row>
    <row r="382" spans="1:10" x14ac:dyDescent="0.3">
      <c r="A382" s="36">
        <f>IF(Values_Entered,A381+1,"")</f>
        <v>365</v>
      </c>
      <c r="B382" s="35">
        <f>IF(Pay_Num&lt;&gt;"",DATE(YEAR(Loan_Start),MONTH(Loan_Start)+(Pay_Num)*12/Num_Pmt_Per_Year,DAY(Loan_Start)),"")</f>
        <v>79514</v>
      </c>
      <c r="C382" s="70">
        <f>IF(Pay_Num&lt;&gt;"",I381,"")</f>
        <v>0</v>
      </c>
      <c r="D382" s="70">
        <f>IF(Pay_Num&lt;&gt;"",Scheduled_Monthly_Payment,"")</f>
        <v>71560.087675010276</v>
      </c>
      <c r="E382" s="71">
        <f>IF(AND(Pay_Num&lt;&gt;"",Sched_Pay+Scheduled_Extra_Payments&lt;Beg_Bal),Scheduled_Extra_Payments,IF(AND(Pay_Num&lt;&gt;"",Beg_Bal-Sched_Pay&gt;0),Beg_Bal-Sched_Pay,IF(Pay_Num&lt;&gt;"",0,"")))</f>
        <v>0</v>
      </c>
      <c r="F382" s="70">
        <f>IF(AND(Pay_Num&lt;&gt;"",Sched_Pay+Extra_Pay&lt;Beg_Bal),Sched_Pay+Extra_Pay,IF(Pay_Num&lt;&gt;"",Beg_Bal,""))</f>
        <v>0</v>
      </c>
      <c r="G382" s="70">
        <f>IF(Pay_Num&lt;&gt;"",Total_Pay-Int,"")</f>
        <v>0</v>
      </c>
      <c r="H382" s="70">
        <f>IF(Pay_Num&lt;&gt;"",Beg_Bal*Interest_Rate/Num_Pmt_Per_Year,"")</f>
        <v>0</v>
      </c>
      <c r="I382" s="70">
        <f>IF(AND(Pay_Num&lt;&gt;"",Sched_Pay+Extra_Pay&lt;Beg_Bal),Beg_Bal-Princ,IF(Pay_Num&lt;&gt;"",0,""))</f>
        <v>0</v>
      </c>
      <c r="J382" s="70">
        <f>SUM($H$18:$H382)</f>
        <v>431201.75350020552</v>
      </c>
    </row>
    <row r="383" spans="1:10" x14ac:dyDescent="0.3">
      <c r="A383" s="36">
        <f>IF(Values_Entered,A382+1,"")</f>
        <v>366</v>
      </c>
      <c r="B383" s="35">
        <f>IF(Pay_Num&lt;&gt;"",DATE(YEAR(Loan_Start),MONTH(Loan_Start)+(Pay_Num)*12/Num_Pmt_Per_Year,DAY(Loan_Start)),"")</f>
        <v>79605</v>
      </c>
      <c r="C383" s="70">
        <f>IF(Pay_Num&lt;&gt;"",I382,"")</f>
        <v>0</v>
      </c>
      <c r="D383" s="70">
        <f>IF(Pay_Num&lt;&gt;"",Scheduled_Monthly_Payment,"")</f>
        <v>71560.087675010276</v>
      </c>
      <c r="E383" s="71">
        <f>IF(AND(Pay_Num&lt;&gt;"",Sched_Pay+Scheduled_Extra_Payments&lt;Beg_Bal),Scheduled_Extra_Payments,IF(AND(Pay_Num&lt;&gt;"",Beg_Bal-Sched_Pay&gt;0),Beg_Bal-Sched_Pay,IF(Pay_Num&lt;&gt;"",0,"")))</f>
        <v>0</v>
      </c>
      <c r="F383" s="70">
        <f>IF(AND(Pay_Num&lt;&gt;"",Sched_Pay+Extra_Pay&lt;Beg_Bal),Sched_Pay+Extra_Pay,IF(Pay_Num&lt;&gt;"",Beg_Bal,""))</f>
        <v>0</v>
      </c>
      <c r="G383" s="70">
        <f>IF(Pay_Num&lt;&gt;"",Total_Pay-Int,"")</f>
        <v>0</v>
      </c>
      <c r="H383" s="70">
        <f>IF(Pay_Num&lt;&gt;"",Beg_Bal*Interest_Rate/Num_Pmt_Per_Year,"")</f>
        <v>0</v>
      </c>
      <c r="I383" s="70">
        <f>IF(AND(Pay_Num&lt;&gt;"",Sched_Pay+Extra_Pay&lt;Beg_Bal),Beg_Bal-Princ,IF(Pay_Num&lt;&gt;"",0,""))</f>
        <v>0</v>
      </c>
      <c r="J383" s="70">
        <f>SUM($H$18:$H383)</f>
        <v>431201.75350020552</v>
      </c>
    </row>
    <row r="384" spans="1:10" x14ac:dyDescent="0.3">
      <c r="A384" s="36">
        <f>IF(Values_Entered,A383+1,"")</f>
        <v>367</v>
      </c>
      <c r="B384" s="35">
        <f>IF(Pay_Num&lt;&gt;"",DATE(YEAR(Loan_Start),MONTH(Loan_Start)+(Pay_Num)*12/Num_Pmt_Per_Year,DAY(Loan_Start)),"")</f>
        <v>79695</v>
      </c>
      <c r="C384" s="70">
        <f>IF(Pay_Num&lt;&gt;"",I383,"")</f>
        <v>0</v>
      </c>
      <c r="D384" s="70">
        <f>IF(Pay_Num&lt;&gt;"",Scheduled_Monthly_Payment,"")</f>
        <v>71560.087675010276</v>
      </c>
      <c r="E384" s="71">
        <f>IF(AND(Pay_Num&lt;&gt;"",Sched_Pay+Scheduled_Extra_Payments&lt;Beg_Bal),Scheduled_Extra_Payments,IF(AND(Pay_Num&lt;&gt;"",Beg_Bal-Sched_Pay&gt;0),Beg_Bal-Sched_Pay,IF(Pay_Num&lt;&gt;"",0,"")))</f>
        <v>0</v>
      </c>
      <c r="F384" s="70">
        <f>IF(AND(Pay_Num&lt;&gt;"",Sched_Pay+Extra_Pay&lt;Beg_Bal),Sched_Pay+Extra_Pay,IF(Pay_Num&lt;&gt;"",Beg_Bal,""))</f>
        <v>0</v>
      </c>
      <c r="G384" s="70">
        <f>IF(Pay_Num&lt;&gt;"",Total_Pay-Int,"")</f>
        <v>0</v>
      </c>
      <c r="H384" s="70">
        <f>IF(Pay_Num&lt;&gt;"",Beg_Bal*Interest_Rate/Num_Pmt_Per_Year,"")</f>
        <v>0</v>
      </c>
      <c r="I384" s="70">
        <f>IF(AND(Pay_Num&lt;&gt;"",Sched_Pay+Extra_Pay&lt;Beg_Bal),Beg_Bal-Princ,IF(Pay_Num&lt;&gt;"",0,""))</f>
        <v>0</v>
      </c>
      <c r="J384" s="70">
        <f>SUM($H$18:$H384)</f>
        <v>431201.75350020552</v>
      </c>
    </row>
    <row r="385" spans="1:10" x14ac:dyDescent="0.3">
      <c r="A385" s="36">
        <f>IF(Values_Entered,A384+1,"")</f>
        <v>368</v>
      </c>
      <c r="B385" s="35">
        <f>IF(Pay_Num&lt;&gt;"",DATE(YEAR(Loan_Start),MONTH(Loan_Start)+(Pay_Num)*12/Num_Pmt_Per_Year,DAY(Loan_Start)),"")</f>
        <v>79787</v>
      </c>
      <c r="C385" s="70">
        <f>IF(Pay_Num&lt;&gt;"",I384,"")</f>
        <v>0</v>
      </c>
      <c r="D385" s="70">
        <f>IF(Pay_Num&lt;&gt;"",Scheduled_Monthly_Payment,"")</f>
        <v>71560.087675010276</v>
      </c>
      <c r="E385" s="71">
        <f>IF(AND(Pay_Num&lt;&gt;"",Sched_Pay+Scheduled_Extra_Payments&lt;Beg_Bal),Scheduled_Extra_Payments,IF(AND(Pay_Num&lt;&gt;"",Beg_Bal-Sched_Pay&gt;0),Beg_Bal-Sched_Pay,IF(Pay_Num&lt;&gt;"",0,"")))</f>
        <v>0</v>
      </c>
      <c r="F385" s="70">
        <f>IF(AND(Pay_Num&lt;&gt;"",Sched_Pay+Extra_Pay&lt;Beg_Bal),Sched_Pay+Extra_Pay,IF(Pay_Num&lt;&gt;"",Beg_Bal,""))</f>
        <v>0</v>
      </c>
      <c r="G385" s="70">
        <f>IF(Pay_Num&lt;&gt;"",Total_Pay-Int,"")</f>
        <v>0</v>
      </c>
      <c r="H385" s="70">
        <f>IF(Pay_Num&lt;&gt;"",Beg_Bal*Interest_Rate/Num_Pmt_Per_Year,"")</f>
        <v>0</v>
      </c>
      <c r="I385" s="70">
        <f>IF(AND(Pay_Num&lt;&gt;"",Sched_Pay+Extra_Pay&lt;Beg_Bal),Beg_Bal-Princ,IF(Pay_Num&lt;&gt;"",0,""))</f>
        <v>0</v>
      </c>
      <c r="J385" s="70">
        <f>SUM($H$18:$H385)</f>
        <v>431201.75350020552</v>
      </c>
    </row>
    <row r="386" spans="1:10" x14ac:dyDescent="0.3">
      <c r="A386" s="36">
        <f>IF(Values_Entered,A385+1,"")</f>
        <v>369</v>
      </c>
      <c r="B386" s="35">
        <f>IF(Pay_Num&lt;&gt;"",DATE(YEAR(Loan_Start),MONTH(Loan_Start)+(Pay_Num)*12/Num_Pmt_Per_Year,DAY(Loan_Start)),"")</f>
        <v>79879</v>
      </c>
      <c r="C386" s="70">
        <f>IF(Pay_Num&lt;&gt;"",I385,"")</f>
        <v>0</v>
      </c>
      <c r="D386" s="70">
        <f>IF(Pay_Num&lt;&gt;"",Scheduled_Monthly_Payment,"")</f>
        <v>71560.087675010276</v>
      </c>
      <c r="E386" s="71">
        <f>IF(AND(Pay_Num&lt;&gt;"",Sched_Pay+Scheduled_Extra_Payments&lt;Beg_Bal),Scheduled_Extra_Payments,IF(AND(Pay_Num&lt;&gt;"",Beg_Bal-Sched_Pay&gt;0),Beg_Bal-Sched_Pay,IF(Pay_Num&lt;&gt;"",0,"")))</f>
        <v>0</v>
      </c>
      <c r="F386" s="70">
        <f>IF(AND(Pay_Num&lt;&gt;"",Sched_Pay+Extra_Pay&lt;Beg_Bal),Sched_Pay+Extra_Pay,IF(Pay_Num&lt;&gt;"",Beg_Bal,""))</f>
        <v>0</v>
      </c>
      <c r="G386" s="70">
        <f>IF(Pay_Num&lt;&gt;"",Total_Pay-Int,"")</f>
        <v>0</v>
      </c>
      <c r="H386" s="70">
        <f>IF(Pay_Num&lt;&gt;"",Beg_Bal*Interest_Rate/Num_Pmt_Per_Year,"")</f>
        <v>0</v>
      </c>
      <c r="I386" s="70">
        <f>IF(AND(Pay_Num&lt;&gt;"",Sched_Pay+Extra_Pay&lt;Beg_Bal),Beg_Bal-Princ,IF(Pay_Num&lt;&gt;"",0,""))</f>
        <v>0</v>
      </c>
      <c r="J386" s="70">
        <f>SUM($H$18:$H386)</f>
        <v>431201.75350020552</v>
      </c>
    </row>
    <row r="387" spans="1:10" x14ac:dyDescent="0.3">
      <c r="A387" s="36">
        <f>IF(Values_Entered,A386+1,"")</f>
        <v>370</v>
      </c>
      <c r="B387" s="35">
        <f>IF(Pay_Num&lt;&gt;"",DATE(YEAR(Loan_Start),MONTH(Loan_Start)+(Pay_Num)*12/Num_Pmt_Per_Year,DAY(Loan_Start)),"")</f>
        <v>79970</v>
      </c>
      <c r="C387" s="70">
        <f>IF(Pay_Num&lt;&gt;"",I386,"")</f>
        <v>0</v>
      </c>
      <c r="D387" s="70">
        <f>IF(Pay_Num&lt;&gt;"",Scheduled_Monthly_Payment,"")</f>
        <v>71560.087675010276</v>
      </c>
      <c r="E387" s="71">
        <f>IF(AND(Pay_Num&lt;&gt;"",Sched_Pay+Scheduled_Extra_Payments&lt;Beg_Bal),Scheduled_Extra_Payments,IF(AND(Pay_Num&lt;&gt;"",Beg_Bal-Sched_Pay&gt;0),Beg_Bal-Sched_Pay,IF(Pay_Num&lt;&gt;"",0,"")))</f>
        <v>0</v>
      </c>
      <c r="F387" s="70">
        <f>IF(AND(Pay_Num&lt;&gt;"",Sched_Pay+Extra_Pay&lt;Beg_Bal),Sched_Pay+Extra_Pay,IF(Pay_Num&lt;&gt;"",Beg_Bal,""))</f>
        <v>0</v>
      </c>
      <c r="G387" s="70">
        <f>IF(Pay_Num&lt;&gt;"",Total_Pay-Int,"")</f>
        <v>0</v>
      </c>
      <c r="H387" s="70">
        <f>IF(Pay_Num&lt;&gt;"",Beg_Bal*Interest_Rate/Num_Pmt_Per_Year,"")</f>
        <v>0</v>
      </c>
      <c r="I387" s="70">
        <f>IF(AND(Pay_Num&lt;&gt;"",Sched_Pay+Extra_Pay&lt;Beg_Bal),Beg_Bal-Princ,IF(Pay_Num&lt;&gt;"",0,""))</f>
        <v>0</v>
      </c>
      <c r="J387" s="70">
        <f>SUM($H$18:$H387)</f>
        <v>431201.75350020552</v>
      </c>
    </row>
    <row r="388" spans="1:10" x14ac:dyDescent="0.3">
      <c r="A388" s="36">
        <f>IF(Values_Entered,A387+1,"")</f>
        <v>371</v>
      </c>
      <c r="B388" s="35">
        <f>IF(Pay_Num&lt;&gt;"",DATE(YEAR(Loan_Start),MONTH(Loan_Start)+(Pay_Num)*12/Num_Pmt_Per_Year,DAY(Loan_Start)),"")</f>
        <v>80060</v>
      </c>
      <c r="C388" s="70">
        <f>IF(Pay_Num&lt;&gt;"",I387,"")</f>
        <v>0</v>
      </c>
      <c r="D388" s="70">
        <f>IF(Pay_Num&lt;&gt;"",Scheduled_Monthly_Payment,"")</f>
        <v>71560.087675010276</v>
      </c>
      <c r="E388" s="71">
        <f>IF(AND(Pay_Num&lt;&gt;"",Sched_Pay+Scheduled_Extra_Payments&lt;Beg_Bal),Scheduled_Extra_Payments,IF(AND(Pay_Num&lt;&gt;"",Beg_Bal-Sched_Pay&gt;0),Beg_Bal-Sched_Pay,IF(Pay_Num&lt;&gt;"",0,"")))</f>
        <v>0</v>
      </c>
      <c r="F388" s="70">
        <f>IF(AND(Pay_Num&lt;&gt;"",Sched_Pay+Extra_Pay&lt;Beg_Bal),Sched_Pay+Extra_Pay,IF(Pay_Num&lt;&gt;"",Beg_Bal,""))</f>
        <v>0</v>
      </c>
      <c r="G388" s="70">
        <f>IF(Pay_Num&lt;&gt;"",Total_Pay-Int,"")</f>
        <v>0</v>
      </c>
      <c r="H388" s="70">
        <f>IF(Pay_Num&lt;&gt;"",Beg_Bal*Interest_Rate/Num_Pmt_Per_Year,"")</f>
        <v>0</v>
      </c>
      <c r="I388" s="70">
        <f>IF(AND(Pay_Num&lt;&gt;"",Sched_Pay+Extra_Pay&lt;Beg_Bal),Beg_Bal-Princ,IF(Pay_Num&lt;&gt;"",0,""))</f>
        <v>0</v>
      </c>
      <c r="J388" s="70">
        <f>SUM($H$18:$H388)</f>
        <v>431201.75350020552</v>
      </c>
    </row>
    <row r="389" spans="1:10" x14ac:dyDescent="0.3">
      <c r="A389" s="36">
        <f>IF(Values_Entered,A388+1,"")</f>
        <v>372</v>
      </c>
      <c r="B389" s="35">
        <f>IF(Pay_Num&lt;&gt;"",DATE(YEAR(Loan_Start),MONTH(Loan_Start)+(Pay_Num)*12/Num_Pmt_Per_Year,DAY(Loan_Start)),"")</f>
        <v>80152</v>
      </c>
      <c r="C389" s="70">
        <f>IF(Pay_Num&lt;&gt;"",I388,"")</f>
        <v>0</v>
      </c>
      <c r="D389" s="70">
        <f>IF(Pay_Num&lt;&gt;"",Scheduled_Monthly_Payment,"")</f>
        <v>71560.087675010276</v>
      </c>
      <c r="E389" s="71">
        <f>IF(AND(Pay_Num&lt;&gt;"",Sched_Pay+Scheduled_Extra_Payments&lt;Beg_Bal),Scheduled_Extra_Payments,IF(AND(Pay_Num&lt;&gt;"",Beg_Bal-Sched_Pay&gt;0),Beg_Bal-Sched_Pay,IF(Pay_Num&lt;&gt;"",0,"")))</f>
        <v>0</v>
      </c>
      <c r="F389" s="70">
        <f>IF(AND(Pay_Num&lt;&gt;"",Sched_Pay+Extra_Pay&lt;Beg_Bal),Sched_Pay+Extra_Pay,IF(Pay_Num&lt;&gt;"",Beg_Bal,""))</f>
        <v>0</v>
      </c>
      <c r="G389" s="70">
        <f>IF(Pay_Num&lt;&gt;"",Total_Pay-Int,"")</f>
        <v>0</v>
      </c>
      <c r="H389" s="70">
        <f>IF(Pay_Num&lt;&gt;"",Beg_Bal*Interest_Rate/Num_Pmt_Per_Year,"")</f>
        <v>0</v>
      </c>
      <c r="I389" s="70">
        <f>IF(AND(Pay_Num&lt;&gt;"",Sched_Pay+Extra_Pay&lt;Beg_Bal),Beg_Bal-Princ,IF(Pay_Num&lt;&gt;"",0,""))</f>
        <v>0</v>
      </c>
      <c r="J389" s="70">
        <f>SUM($H$18:$H389)</f>
        <v>431201.75350020552</v>
      </c>
    </row>
    <row r="390" spans="1:10" x14ac:dyDescent="0.3">
      <c r="A390" s="36">
        <f>IF(Values_Entered,A389+1,"")</f>
        <v>373</v>
      </c>
      <c r="B390" s="35">
        <f>IF(Pay_Num&lt;&gt;"",DATE(YEAR(Loan_Start),MONTH(Loan_Start)+(Pay_Num)*12/Num_Pmt_Per_Year,DAY(Loan_Start)),"")</f>
        <v>80244</v>
      </c>
      <c r="C390" s="70">
        <f>IF(Pay_Num&lt;&gt;"",I389,"")</f>
        <v>0</v>
      </c>
      <c r="D390" s="70">
        <f>IF(Pay_Num&lt;&gt;"",Scheduled_Monthly_Payment,"")</f>
        <v>71560.087675010276</v>
      </c>
      <c r="E390" s="71">
        <f>IF(AND(Pay_Num&lt;&gt;"",Sched_Pay+Scheduled_Extra_Payments&lt;Beg_Bal),Scheduled_Extra_Payments,IF(AND(Pay_Num&lt;&gt;"",Beg_Bal-Sched_Pay&gt;0),Beg_Bal-Sched_Pay,IF(Pay_Num&lt;&gt;"",0,"")))</f>
        <v>0</v>
      </c>
      <c r="F390" s="70">
        <f>IF(AND(Pay_Num&lt;&gt;"",Sched_Pay+Extra_Pay&lt;Beg_Bal),Sched_Pay+Extra_Pay,IF(Pay_Num&lt;&gt;"",Beg_Bal,""))</f>
        <v>0</v>
      </c>
      <c r="G390" s="70">
        <f>IF(Pay_Num&lt;&gt;"",Total_Pay-Int,"")</f>
        <v>0</v>
      </c>
      <c r="H390" s="70">
        <f>IF(Pay_Num&lt;&gt;"",Beg_Bal*Interest_Rate/Num_Pmt_Per_Year,"")</f>
        <v>0</v>
      </c>
      <c r="I390" s="70">
        <f>IF(AND(Pay_Num&lt;&gt;"",Sched_Pay+Extra_Pay&lt;Beg_Bal),Beg_Bal-Princ,IF(Pay_Num&lt;&gt;"",0,""))</f>
        <v>0</v>
      </c>
      <c r="J390" s="70">
        <f>SUM($H$18:$H390)</f>
        <v>431201.75350020552</v>
      </c>
    </row>
    <row r="391" spans="1:10" x14ac:dyDescent="0.3">
      <c r="A391" s="36">
        <f>IF(Values_Entered,A390+1,"")</f>
        <v>374</v>
      </c>
      <c r="B391" s="35">
        <f>IF(Pay_Num&lt;&gt;"",DATE(YEAR(Loan_Start),MONTH(Loan_Start)+(Pay_Num)*12/Num_Pmt_Per_Year,DAY(Loan_Start)),"")</f>
        <v>80335</v>
      </c>
      <c r="C391" s="70">
        <f>IF(Pay_Num&lt;&gt;"",I390,"")</f>
        <v>0</v>
      </c>
      <c r="D391" s="70">
        <f>IF(Pay_Num&lt;&gt;"",Scheduled_Monthly_Payment,"")</f>
        <v>71560.087675010276</v>
      </c>
      <c r="E391" s="71">
        <f>IF(AND(Pay_Num&lt;&gt;"",Sched_Pay+Scheduled_Extra_Payments&lt;Beg_Bal),Scheduled_Extra_Payments,IF(AND(Pay_Num&lt;&gt;"",Beg_Bal-Sched_Pay&gt;0),Beg_Bal-Sched_Pay,IF(Pay_Num&lt;&gt;"",0,"")))</f>
        <v>0</v>
      </c>
      <c r="F391" s="70">
        <f>IF(AND(Pay_Num&lt;&gt;"",Sched_Pay+Extra_Pay&lt;Beg_Bal),Sched_Pay+Extra_Pay,IF(Pay_Num&lt;&gt;"",Beg_Bal,""))</f>
        <v>0</v>
      </c>
      <c r="G391" s="70">
        <f>IF(Pay_Num&lt;&gt;"",Total_Pay-Int,"")</f>
        <v>0</v>
      </c>
      <c r="H391" s="70">
        <f>IF(Pay_Num&lt;&gt;"",Beg_Bal*Interest_Rate/Num_Pmt_Per_Year,"")</f>
        <v>0</v>
      </c>
      <c r="I391" s="70">
        <f>IF(AND(Pay_Num&lt;&gt;"",Sched_Pay+Extra_Pay&lt;Beg_Bal),Beg_Bal-Princ,IF(Pay_Num&lt;&gt;"",0,""))</f>
        <v>0</v>
      </c>
      <c r="J391" s="70">
        <f>SUM($H$18:$H391)</f>
        <v>431201.75350020552</v>
      </c>
    </row>
    <row r="392" spans="1:10" x14ac:dyDescent="0.3">
      <c r="A392" s="36">
        <f>IF(Values_Entered,A391+1,"")</f>
        <v>375</v>
      </c>
      <c r="B392" s="35">
        <f>IF(Pay_Num&lt;&gt;"",DATE(YEAR(Loan_Start),MONTH(Loan_Start)+(Pay_Num)*12/Num_Pmt_Per_Year,DAY(Loan_Start)),"")</f>
        <v>80426</v>
      </c>
      <c r="C392" s="70">
        <f>IF(Pay_Num&lt;&gt;"",I391,"")</f>
        <v>0</v>
      </c>
      <c r="D392" s="70">
        <f>IF(Pay_Num&lt;&gt;"",Scheduled_Monthly_Payment,"")</f>
        <v>71560.087675010276</v>
      </c>
      <c r="E392" s="71">
        <f>IF(AND(Pay_Num&lt;&gt;"",Sched_Pay+Scheduled_Extra_Payments&lt;Beg_Bal),Scheduled_Extra_Payments,IF(AND(Pay_Num&lt;&gt;"",Beg_Bal-Sched_Pay&gt;0),Beg_Bal-Sched_Pay,IF(Pay_Num&lt;&gt;"",0,"")))</f>
        <v>0</v>
      </c>
      <c r="F392" s="70">
        <f>IF(AND(Pay_Num&lt;&gt;"",Sched_Pay+Extra_Pay&lt;Beg_Bal),Sched_Pay+Extra_Pay,IF(Pay_Num&lt;&gt;"",Beg_Bal,""))</f>
        <v>0</v>
      </c>
      <c r="G392" s="70">
        <f>IF(Pay_Num&lt;&gt;"",Total_Pay-Int,"")</f>
        <v>0</v>
      </c>
      <c r="H392" s="70">
        <f>IF(Pay_Num&lt;&gt;"",Beg_Bal*Interest_Rate/Num_Pmt_Per_Year,"")</f>
        <v>0</v>
      </c>
      <c r="I392" s="70">
        <f>IF(AND(Pay_Num&lt;&gt;"",Sched_Pay+Extra_Pay&lt;Beg_Bal),Beg_Bal-Princ,IF(Pay_Num&lt;&gt;"",0,""))</f>
        <v>0</v>
      </c>
      <c r="J392" s="70">
        <f>SUM($H$18:$H392)</f>
        <v>431201.75350020552</v>
      </c>
    </row>
    <row r="393" spans="1:10" x14ac:dyDescent="0.3">
      <c r="A393" s="36">
        <f>IF(Values_Entered,A392+1,"")</f>
        <v>376</v>
      </c>
      <c r="B393" s="35">
        <f>IF(Pay_Num&lt;&gt;"",DATE(YEAR(Loan_Start),MONTH(Loan_Start)+(Pay_Num)*12/Num_Pmt_Per_Year,DAY(Loan_Start)),"")</f>
        <v>80518</v>
      </c>
      <c r="C393" s="70">
        <f>IF(Pay_Num&lt;&gt;"",I392,"")</f>
        <v>0</v>
      </c>
      <c r="D393" s="70">
        <f>IF(Pay_Num&lt;&gt;"",Scheduled_Monthly_Payment,"")</f>
        <v>71560.087675010276</v>
      </c>
      <c r="E393" s="71">
        <f>IF(AND(Pay_Num&lt;&gt;"",Sched_Pay+Scheduled_Extra_Payments&lt;Beg_Bal),Scheduled_Extra_Payments,IF(AND(Pay_Num&lt;&gt;"",Beg_Bal-Sched_Pay&gt;0),Beg_Bal-Sched_Pay,IF(Pay_Num&lt;&gt;"",0,"")))</f>
        <v>0</v>
      </c>
      <c r="F393" s="70">
        <f>IF(AND(Pay_Num&lt;&gt;"",Sched_Pay+Extra_Pay&lt;Beg_Bal),Sched_Pay+Extra_Pay,IF(Pay_Num&lt;&gt;"",Beg_Bal,""))</f>
        <v>0</v>
      </c>
      <c r="G393" s="70">
        <f>IF(Pay_Num&lt;&gt;"",Total_Pay-Int,"")</f>
        <v>0</v>
      </c>
      <c r="H393" s="70">
        <f>IF(Pay_Num&lt;&gt;"",Beg_Bal*Interest_Rate/Num_Pmt_Per_Year,"")</f>
        <v>0</v>
      </c>
      <c r="I393" s="70">
        <f>IF(AND(Pay_Num&lt;&gt;"",Sched_Pay+Extra_Pay&lt;Beg_Bal),Beg_Bal-Princ,IF(Pay_Num&lt;&gt;"",0,""))</f>
        <v>0</v>
      </c>
      <c r="J393" s="70">
        <f>SUM($H$18:$H393)</f>
        <v>431201.75350020552</v>
      </c>
    </row>
    <row r="394" spans="1:10" x14ac:dyDescent="0.3">
      <c r="A394" s="36">
        <f>IF(Values_Entered,A393+1,"")</f>
        <v>377</v>
      </c>
      <c r="B394" s="35">
        <f>IF(Pay_Num&lt;&gt;"",DATE(YEAR(Loan_Start),MONTH(Loan_Start)+(Pay_Num)*12/Num_Pmt_Per_Year,DAY(Loan_Start)),"")</f>
        <v>80610</v>
      </c>
      <c r="C394" s="70">
        <f>IF(Pay_Num&lt;&gt;"",I393,"")</f>
        <v>0</v>
      </c>
      <c r="D394" s="70">
        <f>IF(Pay_Num&lt;&gt;"",Scheduled_Monthly_Payment,"")</f>
        <v>71560.087675010276</v>
      </c>
      <c r="E394" s="71">
        <f>IF(AND(Pay_Num&lt;&gt;"",Sched_Pay+Scheduled_Extra_Payments&lt;Beg_Bal),Scheduled_Extra_Payments,IF(AND(Pay_Num&lt;&gt;"",Beg_Bal-Sched_Pay&gt;0),Beg_Bal-Sched_Pay,IF(Pay_Num&lt;&gt;"",0,"")))</f>
        <v>0</v>
      </c>
      <c r="F394" s="70">
        <f>IF(AND(Pay_Num&lt;&gt;"",Sched_Pay+Extra_Pay&lt;Beg_Bal),Sched_Pay+Extra_Pay,IF(Pay_Num&lt;&gt;"",Beg_Bal,""))</f>
        <v>0</v>
      </c>
      <c r="G394" s="70">
        <f>IF(Pay_Num&lt;&gt;"",Total_Pay-Int,"")</f>
        <v>0</v>
      </c>
      <c r="H394" s="70">
        <f>IF(Pay_Num&lt;&gt;"",Beg_Bal*Interest_Rate/Num_Pmt_Per_Year,"")</f>
        <v>0</v>
      </c>
      <c r="I394" s="70">
        <f>IF(AND(Pay_Num&lt;&gt;"",Sched_Pay+Extra_Pay&lt;Beg_Bal),Beg_Bal-Princ,IF(Pay_Num&lt;&gt;"",0,""))</f>
        <v>0</v>
      </c>
      <c r="J394" s="70">
        <f>SUM($H$18:$H394)</f>
        <v>431201.75350020552</v>
      </c>
    </row>
    <row r="395" spans="1:10" x14ac:dyDescent="0.3">
      <c r="A395" s="36">
        <f>IF(Values_Entered,A394+1,"")</f>
        <v>378</v>
      </c>
      <c r="B395" s="35">
        <f>IF(Pay_Num&lt;&gt;"",DATE(YEAR(Loan_Start),MONTH(Loan_Start)+(Pay_Num)*12/Num_Pmt_Per_Year,DAY(Loan_Start)),"")</f>
        <v>80701</v>
      </c>
      <c r="C395" s="70">
        <f>IF(Pay_Num&lt;&gt;"",I394,"")</f>
        <v>0</v>
      </c>
      <c r="D395" s="70">
        <f>IF(Pay_Num&lt;&gt;"",Scheduled_Monthly_Payment,"")</f>
        <v>71560.087675010276</v>
      </c>
      <c r="E395" s="71">
        <f>IF(AND(Pay_Num&lt;&gt;"",Sched_Pay+Scheduled_Extra_Payments&lt;Beg_Bal),Scheduled_Extra_Payments,IF(AND(Pay_Num&lt;&gt;"",Beg_Bal-Sched_Pay&gt;0),Beg_Bal-Sched_Pay,IF(Pay_Num&lt;&gt;"",0,"")))</f>
        <v>0</v>
      </c>
      <c r="F395" s="70">
        <f>IF(AND(Pay_Num&lt;&gt;"",Sched_Pay+Extra_Pay&lt;Beg_Bal),Sched_Pay+Extra_Pay,IF(Pay_Num&lt;&gt;"",Beg_Bal,""))</f>
        <v>0</v>
      </c>
      <c r="G395" s="70">
        <f>IF(Pay_Num&lt;&gt;"",Total_Pay-Int,"")</f>
        <v>0</v>
      </c>
      <c r="H395" s="70">
        <f>IF(Pay_Num&lt;&gt;"",Beg_Bal*Interest_Rate/Num_Pmt_Per_Year,"")</f>
        <v>0</v>
      </c>
      <c r="I395" s="70">
        <f>IF(AND(Pay_Num&lt;&gt;"",Sched_Pay+Extra_Pay&lt;Beg_Bal),Beg_Bal-Princ,IF(Pay_Num&lt;&gt;"",0,""))</f>
        <v>0</v>
      </c>
      <c r="J395" s="70">
        <f>SUM($H$18:$H395)</f>
        <v>431201.75350020552</v>
      </c>
    </row>
    <row r="396" spans="1:10" x14ac:dyDescent="0.3">
      <c r="A396" s="36">
        <f>IF(Values_Entered,A395+1,"")</f>
        <v>379</v>
      </c>
      <c r="B396" s="35">
        <f>IF(Pay_Num&lt;&gt;"",DATE(YEAR(Loan_Start),MONTH(Loan_Start)+(Pay_Num)*12/Num_Pmt_Per_Year,DAY(Loan_Start)),"")</f>
        <v>80791</v>
      </c>
      <c r="C396" s="70">
        <f>IF(Pay_Num&lt;&gt;"",I395,"")</f>
        <v>0</v>
      </c>
      <c r="D396" s="70">
        <f>IF(Pay_Num&lt;&gt;"",Scheduled_Monthly_Payment,"")</f>
        <v>71560.087675010276</v>
      </c>
      <c r="E396" s="71">
        <f>IF(AND(Pay_Num&lt;&gt;"",Sched_Pay+Scheduled_Extra_Payments&lt;Beg_Bal),Scheduled_Extra_Payments,IF(AND(Pay_Num&lt;&gt;"",Beg_Bal-Sched_Pay&gt;0),Beg_Bal-Sched_Pay,IF(Pay_Num&lt;&gt;"",0,"")))</f>
        <v>0</v>
      </c>
      <c r="F396" s="70">
        <f>IF(AND(Pay_Num&lt;&gt;"",Sched_Pay+Extra_Pay&lt;Beg_Bal),Sched_Pay+Extra_Pay,IF(Pay_Num&lt;&gt;"",Beg_Bal,""))</f>
        <v>0</v>
      </c>
      <c r="G396" s="70">
        <f>IF(Pay_Num&lt;&gt;"",Total_Pay-Int,"")</f>
        <v>0</v>
      </c>
      <c r="H396" s="70">
        <f>IF(Pay_Num&lt;&gt;"",Beg_Bal*Interest_Rate/Num_Pmt_Per_Year,"")</f>
        <v>0</v>
      </c>
      <c r="I396" s="70">
        <f>IF(AND(Pay_Num&lt;&gt;"",Sched_Pay+Extra_Pay&lt;Beg_Bal),Beg_Bal-Princ,IF(Pay_Num&lt;&gt;"",0,""))</f>
        <v>0</v>
      </c>
      <c r="J396" s="70">
        <f>SUM($H$18:$H396)</f>
        <v>431201.75350020552</v>
      </c>
    </row>
    <row r="397" spans="1:10" x14ac:dyDescent="0.3">
      <c r="A397" s="36">
        <f>IF(Values_Entered,A396+1,"")</f>
        <v>380</v>
      </c>
      <c r="B397" s="35">
        <f>IF(Pay_Num&lt;&gt;"",DATE(YEAR(Loan_Start),MONTH(Loan_Start)+(Pay_Num)*12/Num_Pmt_Per_Year,DAY(Loan_Start)),"")</f>
        <v>80883</v>
      </c>
      <c r="C397" s="70">
        <f>IF(Pay_Num&lt;&gt;"",I396,"")</f>
        <v>0</v>
      </c>
      <c r="D397" s="70">
        <f>IF(Pay_Num&lt;&gt;"",Scheduled_Monthly_Payment,"")</f>
        <v>71560.087675010276</v>
      </c>
      <c r="E397" s="71">
        <f>IF(AND(Pay_Num&lt;&gt;"",Sched_Pay+Scheduled_Extra_Payments&lt;Beg_Bal),Scheduled_Extra_Payments,IF(AND(Pay_Num&lt;&gt;"",Beg_Bal-Sched_Pay&gt;0),Beg_Bal-Sched_Pay,IF(Pay_Num&lt;&gt;"",0,"")))</f>
        <v>0</v>
      </c>
      <c r="F397" s="70">
        <f>IF(AND(Pay_Num&lt;&gt;"",Sched_Pay+Extra_Pay&lt;Beg_Bal),Sched_Pay+Extra_Pay,IF(Pay_Num&lt;&gt;"",Beg_Bal,""))</f>
        <v>0</v>
      </c>
      <c r="G397" s="70">
        <f>IF(Pay_Num&lt;&gt;"",Total_Pay-Int,"")</f>
        <v>0</v>
      </c>
      <c r="H397" s="70">
        <f>IF(Pay_Num&lt;&gt;"",Beg_Bal*Interest_Rate/Num_Pmt_Per_Year,"")</f>
        <v>0</v>
      </c>
      <c r="I397" s="70">
        <f>IF(AND(Pay_Num&lt;&gt;"",Sched_Pay+Extra_Pay&lt;Beg_Bal),Beg_Bal-Princ,IF(Pay_Num&lt;&gt;"",0,""))</f>
        <v>0</v>
      </c>
      <c r="J397" s="70">
        <f>SUM($H$18:$H397)</f>
        <v>431201.75350020552</v>
      </c>
    </row>
    <row r="398" spans="1:10" x14ac:dyDescent="0.3">
      <c r="A398" s="36">
        <f>IF(Values_Entered,A397+1,"")</f>
        <v>381</v>
      </c>
      <c r="B398" s="35">
        <f>IF(Pay_Num&lt;&gt;"",DATE(YEAR(Loan_Start),MONTH(Loan_Start)+(Pay_Num)*12/Num_Pmt_Per_Year,DAY(Loan_Start)),"")</f>
        <v>80975</v>
      </c>
      <c r="C398" s="70">
        <f>IF(Pay_Num&lt;&gt;"",I397,"")</f>
        <v>0</v>
      </c>
      <c r="D398" s="70">
        <f>IF(Pay_Num&lt;&gt;"",Scheduled_Monthly_Payment,"")</f>
        <v>71560.087675010276</v>
      </c>
      <c r="E398" s="71">
        <f>IF(AND(Pay_Num&lt;&gt;"",Sched_Pay+Scheduled_Extra_Payments&lt;Beg_Bal),Scheduled_Extra_Payments,IF(AND(Pay_Num&lt;&gt;"",Beg_Bal-Sched_Pay&gt;0),Beg_Bal-Sched_Pay,IF(Pay_Num&lt;&gt;"",0,"")))</f>
        <v>0</v>
      </c>
      <c r="F398" s="70">
        <f>IF(AND(Pay_Num&lt;&gt;"",Sched_Pay+Extra_Pay&lt;Beg_Bal),Sched_Pay+Extra_Pay,IF(Pay_Num&lt;&gt;"",Beg_Bal,""))</f>
        <v>0</v>
      </c>
      <c r="G398" s="70">
        <f>IF(Pay_Num&lt;&gt;"",Total_Pay-Int,"")</f>
        <v>0</v>
      </c>
      <c r="H398" s="70">
        <f>IF(Pay_Num&lt;&gt;"",Beg_Bal*Interest_Rate/Num_Pmt_Per_Year,"")</f>
        <v>0</v>
      </c>
      <c r="I398" s="70">
        <f>IF(AND(Pay_Num&lt;&gt;"",Sched_Pay+Extra_Pay&lt;Beg_Bal),Beg_Bal-Princ,IF(Pay_Num&lt;&gt;"",0,""))</f>
        <v>0</v>
      </c>
      <c r="J398" s="70">
        <f>SUM($H$18:$H398)</f>
        <v>431201.75350020552</v>
      </c>
    </row>
    <row r="399" spans="1:10" x14ac:dyDescent="0.3">
      <c r="A399" s="36">
        <f>IF(Values_Entered,A398+1,"")</f>
        <v>382</v>
      </c>
      <c r="B399" s="35">
        <f>IF(Pay_Num&lt;&gt;"",DATE(YEAR(Loan_Start),MONTH(Loan_Start)+(Pay_Num)*12/Num_Pmt_Per_Year,DAY(Loan_Start)),"")</f>
        <v>81066</v>
      </c>
      <c r="C399" s="70">
        <f>IF(Pay_Num&lt;&gt;"",I398,"")</f>
        <v>0</v>
      </c>
      <c r="D399" s="70">
        <f>IF(Pay_Num&lt;&gt;"",Scheduled_Monthly_Payment,"")</f>
        <v>71560.087675010276</v>
      </c>
      <c r="E399" s="71">
        <f>IF(AND(Pay_Num&lt;&gt;"",Sched_Pay+Scheduled_Extra_Payments&lt;Beg_Bal),Scheduled_Extra_Payments,IF(AND(Pay_Num&lt;&gt;"",Beg_Bal-Sched_Pay&gt;0),Beg_Bal-Sched_Pay,IF(Pay_Num&lt;&gt;"",0,"")))</f>
        <v>0</v>
      </c>
      <c r="F399" s="70">
        <f>IF(AND(Pay_Num&lt;&gt;"",Sched_Pay+Extra_Pay&lt;Beg_Bal),Sched_Pay+Extra_Pay,IF(Pay_Num&lt;&gt;"",Beg_Bal,""))</f>
        <v>0</v>
      </c>
      <c r="G399" s="70">
        <f>IF(Pay_Num&lt;&gt;"",Total_Pay-Int,"")</f>
        <v>0</v>
      </c>
      <c r="H399" s="70">
        <f>IF(Pay_Num&lt;&gt;"",Beg_Bal*Interest_Rate/Num_Pmt_Per_Year,"")</f>
        <v>0</v>
      </c>
      <c r="I399" s="70">
        <f>IF(AND(Pay_Num&lt;&gt;"",Sched_Pay+Extra_Pay&lt;Beg_Bal),Beg_Bal-Princ,IF(Pay_Num&lt;&gt;"",0,""))</f>
        <v>0</v>
      </c>
      <c r="J399" s="70">
        <f>SUM($H$18:$H399)</f>
        <v>431201.75350020552</v>
      </c>
    </row>
    <row r="400" spans="1:10" x14ac:dyDescent="0.3">
      <c r="A400" s="36">
        <f>IF(Values_Entered,A399+1,"")</f>
        <v>383</v>
      </c>
      <c r="B400" s="35">
        <f>IF(Pay_Num&lt;&gt;"",DATE(YEAR(Loan_Start),MONTH(Loan_Start)+(Pay_Num)*12/Num_Pmt_Per_Year,DAY(Loan_Start)),"")</f>
        <v>81156</v>
      </c>
      <c r="C400" s="70">
        <f>IF(Pay_Num&lt;&gt;"",I399,"")</f>
        <v>0</v>
      </c>
      <c r="D400" s="70">
        <f>IF(Pay_Num&lt;&gt;"",Scheduled_Monthly_Payment,"")</f>
        <v>71560.087675010276</v>
      </c>
      <c r="E400" s="71">
        <f>IF(AND(Pay_Num&lt;&gt;"",Sched_Pay+Scheduled_Extra_Payments&lt;Beg_Bal),Scheduled_Extra_Payments,IF(AND(Pay_Num&lt;&gt;"",Beg_Bal-Sched_Pay&gt;0),Beg_Bal-Sched_Pay,IF(Pay_Num&lt;&gt;"",0,"")))</f>
        <v>0</v>
      </c>
      <c r="F400" s="70">
        <f>IF(AND(Pay_Num&lt;&gt;"",Sched_Pay+Extra_Pay&lt;Beg_Bal),Sched_Pay+Extra_Pay,IF(Pay_Num&lt;&gt;"",Beg_Bal,""))</f>
        <v>0</v>
      </c>
      <c r="G400" s="70">
        <f>IF(Pay_Num&lt;&gt;"",Total_Pay-Int,"")</f>
        <v>0</v>
      </c>
      <c r="H400" s="70">
        <f>IF(Pay_Num&lt;&gt;"",Beg_Bal*Interest_Rate/Num_Pmt_Per_Year,"")</f>
        <v>0</v>
      </c>
      <c r="I400" s="70">
        <f>IF(AND(Pay_Num&lt;&gt;"",Sched_Pay+Extra_Pay&lt;Beg_Bal),Beg_Bal-Princ,IF(Pay_Num&lt;&gt;"",0,""))</f>
        <v>0</v>
      </c>
      <c r="J400" s="70">
        <f>SUM($H$18:$H400)</f>
        <v>431201.75350020552</v>
      </c>
    </row>
    <row r="401" spans="1:10" x14ac:dyDescent="0.3">
      <c r="A401" s="36">
        <f>IF(Values_Entered,A400+1,"")</f>
        <v>384</v>
      </c>
      <c r="B401" s="35">
        <f>IF(Pay_Num&lt;&gt;"",DATE(YEAR(Loan_Start),MONTH(Loan_Start)+(Pay_Num)*12/Num_Pmt_Per_Year,DAY(Loan_Start)),"")</f>
        <v>81248</v>
      </c>
      <c r="C401" s="70">
        <f>IF(Pay_Num&lt;&gt;"",I400,"")</f>
        <v>0</v>
      </c>
      <c r="D401" s="70">
        <f>IF(Pay_Num&lt;&gt;"",Scheduled_Monthly_Payment,"")</f>
        <v>71560.087675010276</v>
      </c>
      <c r="E401" s="71">
        <f>IF(AND(Pay_Num&lt;&gt;"",Sched_Pay+Scheduled_Extra_Payments&lt;Beg_Bal),Scheduled_Extra_Payments,IF(AND(Pay_Num&lt;&gt;"",Beg_Bal-Sched_Pay&gt;0),Beg_Bal-Sched_Pay,IF(Pay_Num&lt;&gt;"",0,"")))</f>
        <v>0</v>
      </c>
      <c r="F401" s="70">
        <f>IF(AND(Pay_Num&lt;&gt;"",Sched_Pay+Extra_Pay&lt;Beg_Bal),Sched_Pay+Extra_Pay,IF(Pay_Num&lt;&gt;"",Beg_Bal,""))</f>
        <v>0</v>
      </c>
      <c r="G401" s="70">
        <f>IF(Pay_Num&lt;&gt;"",Total_Pay-Int,"")</f>
        <v>0</v>
      </c>
      <c r="H401" s="70">
        <f>IF(Pay_Num&lt;&gt;"",Beg_Bal*Interest_Rate/Num_Pmt_Per_Year,"")</f>
        <v>0</v>
      </c>
      <c r="I401" s="70">
        <f>IF(AND(Pay_Num&lt;&gt;"",Sched_Pay+Extra_Pay&lt;Beg_Bal),Beg_Bal-Princ,IF(Pay_Num&lt;&gt;"",0,""))</f>
        <v>0</v>
      </c>
      <c r="J401" s="70">
        <f>SUM($H$18:$H401)</f>
        <v>431201.75350020552</v>
      </c>
    </row>
    <row r="402" spans="1:10" x14ac:dyDescent="0.3">
      <c r="A402" s="36">
        <f>IF(Values_Entered,A401+1,"")</f>
        <v>385</v>
      </c>
      <c r="B402" s="35">
        <f>IF(Pay_Num&lt;&gt;"",DATE(YEAR(Loan_Start),MONTH(Loan_Start)+(Pay_Num)*12/Num_Pmt_Per_Year,DAY(Loan_Start)),"")</f>
        <v>81340</v>
      </c>
      <c r="C402" s="70">
        <f>IF(Pay_Num&lt;&gt;"",I401,"")</f>
        <v>0</v>
      </c>
      <c r="D402" s="70">
        <f>IF(Pay_Num&lt;&gt;"",Scheduled_Monthly_Payment,"")</f>
        <v>71560.087675010276</v>
      </c>
      <c r="E402" s="71">
        <f>IF(AND(Pay_Num&lt;&gt;"",Sched_Pay+Scheduled_Extra_Payments&lt;Beg_Bal),Scheduled_Extra_Payments,IF(AND(Pay_Num&lt;&gt;"",Beg_Bal-Sched_Pay&gt;0),Beg_Bal-Sched_Pay,IF(Pay_Num&lt;&gt;"",0,"")))</f>
        <v>0</v>
      </c>
      <c r="F402" s="70">
        <f>IF(AND(Pay_Num&lt;&gt;"",Sched_Pay+Extra_Pay&lt;Beg_Bal),Sched_Pay+Extra_Pay,IF(Pay_Num&lt;&gt;"",Beg_Bal,""))</f>
        <v>0</v>
      </c>
      <c r="G402" s="70">
        <f>IF(Pay_Num&lt;&gt;"",Total_Pay-Int,"")</f>
        <v>0</v>
      </c>
      <c r="H402" s="70">
        <f>IF(Pay_Num&lt;&gt;"",Beg_Bal*Interest_Rate/Num_Pmt_Per_Year,"")</f>
        <v>0</v>
      </c>
      <c r="I402" s="70">
        <f>IF(AND(Pay_Num&lt;&gt;"",Sched_Pay+Extra_Pay&lt;Beg_Bal),Beg_Bal-Princ,IF(Pay_Num&lt;&gt;"",0,""))</f>
        <v>0</v>
      </c>
      <c r="J402" s="70">
        <f>SUM($H$18:$H402)</f>
        <v>431201.75350020552</v>
      </c>
    </row>
    <row r="403" spans="1:10" x14ac:dyDescent="0.3">
      <c r="A403" s="36">
        <f>IF(Values_Entered,A402+1,"")</f>
        <v>386</v>
      </c>
      <c r="B403" s="35">
        <f>IF(Pay_Num&lt;&gt;"",DATE(YEAR(Loan_Start),MONTH(Loan_Start)+(Pay_Num)*12/Num_Pmt_Per_Year,DAY(Loan_Start)),"")</f>
        <v>81431</v>
      </c>
      <c r="C403" s="70">
        <f>IF(Pay_Num&lt;&gt;"",I402,"")</f>
        <v>0</v>
      </c>
      <c r="D403" s="70">
        <f>IF(Pay_Num&lt;&gt;"",Scheduled_Monthly_Payment,"")</f>
        <v>71560.087675010276</v>
      </c>
      <c r="E403" s="71">
        <f>IF(AND(Pay_Num&lt;&gt;"",Sched_Pay+Scheduled_Extra_Payments&lt;Beg_Bal),Scheduled_Extra_Payments,IF(AND(Pay_Num&lt;&gt;"",Beg_Bal-Sched_Pay&gt;0),Beg_Bal-Sched_Pay,IF(Pay_Num&lt;&gt;"",0,"")))</f>
        <v>0</v>
      </c>
      <c r="F403" s="70">
        <f>IF(AND(Pay_Num&lt;&gt;"",Sched_Pay+Extra_Pay&lt;Beg_Bal),Sched_Pay+Extra_Pay,IF(Pay_Num&lt;&gt;"",Beg_Bal,""))</f>
        <v>0</v>
      </c>
      <c r="G403" s="70">
        <f>IF(Pay_Num&lt;&gt;"",Total_Pay-Int,"")</f>
        <v>0</v>
      </c>
      <c r="H403" s="70">
        <f>IF(Pay_Num&lt;&gt;"",Beg_Bal*Interest_Rate/Num_Pmt_Per_Year,"")</f>
        <v>0</v>
      </c>
      <c r="I403" s="70">
        <f>IF(AND(Pay_Num&lt;&gt;"",Sched_Pay+Extra_Pay&lt;Beg_Bal),Beg_Bal-Princ,IF(Pay_Num&lt;&gt;"",0,""))</f>
        <v>0</v>
      </c>
      <c r="J403" s="70">
        <f>SUM($H$18:$H403)</f>
        <v>431201.75350020552</v>
      </c>
    </row>
    <row r="404" spans="1:10" x14ac:dyDescent="0.3">
      <c r="A404" s="36">
        <f>IF(Values_Entered,A403+1,"")</f>
        <v>387</v>
      </c>
      <c r="B404" s="35">
        <f>IF(Pay_Num&lt;&gt;"",DATE(YEAR(Loan_Start),MONTH(Loan_Start)+(Pay_Num)*12/Num_Pmt_Per_Year,DAY(Loan_Start)),"")</f>
        <v>81521</v>
      </c>
      <c r="C404" s="70">
        <f>IF(Pay_Num&lt;&gt;"",I403,"")</f>
        <v>0</v>
      </c>
      <c r="D404" s="70">
        <f>IF(Pay_Num&lt;&gt;"",Scheduled_Monthly_Payment,"")</f>
        <v>71560.087675010276</v>
      </c>
      <c r="E404" s="71">
        <f>IF(AND(Pay_Num&lt;&gt;"",Sched_Pay+Scheduled_Extra_Payments&lt;Beg_Bal),Scheduled_Extra_Payments,IF(AND(Pay_Num&lt;&gt;"",Beg_Bal-Sched_Pay&gt;0),Beg_Bal-Sched_Pay,IF(Pay_Num&lt;&gt;"",0,"")))</f>
        <v>0</v>
      </c>
      <c r="F404" s="70">
        <f>IF(AND(Pay_Num&lt;&gt;"",Sched_Pay+Extra_Pay&lt;Beg_Bal),Sched_Pay+Extra_Pay,IF(Pay_Num&lt;&gt;"",Beg_Bal,""))</f>
        <v>0</v>
      </c>
      <c r="G404" s="70">
        <f>IF(Pay_Num&lt;&gt;"",Total_Pay-Int,"")</f>
        <v>0</v>
      </c>
      <c r="H404" s="70">
        <f>IF(Pay_Num&lt;&gt;"",Beg_Bal*Interest_Rate/Num_Pmt_Per_Year,"")</f>
        <v>0</v>
      </c>
      <c r="I404" s="70">
        <f>IF(AND(Pay_Num&lt;&gt;"",Sched_Pay+Extra_Pay&lt;Beg_Bal),Beg_Bal-Princ,IF(Pay_Num&lt;&gt;"",0,""))</f>
        <v>0</v>
      </c>
      <c r="J404" s="70">
        <f>SUM($H$18:$H404)</f>
        <v>431201.75350020552</v>
      </c>
    </row>
    <row r="405" spans="1:10" x14ac:dyDescent="0.3">
      <c r="A405" s="36">
        <f>IF(Values_Entered,A404+1,"")</f>
        <v>388</v>
      </c>
      <c r="B405" s="35">
        <f>IF(Pay_Num&lt;&gt;"",DATE(YEAR(Loan_Start),MONTH(Loan_Start)+(Pay_Num)*12/Num_Pmt_Per_Year,DAY(Loan_Start)),"")</f>
        <v>81613</v>
      </c>
      <c r="C405" s="70">
        <f>IF(Pay_Num&lt;&gt;"",I404,"")</f>
        <v>0</v>
      </c>
      <c r="D405" s="70">
        <f>IF(Pay_Num&lt;&gt;"",Scheduled_Monthly_Payment,"")</f>
        <v>71560.087675010276</v>
      </c>
      <c r="E405" s="71">
        <f>IF(AND(Pay_Num&lt;&gt;"",Sched_Pay+Scheduled_Extra_Payments&lt;Beg_Bal),Scheduled_Extra_Payments,IF(AND(Pay_Num&lt;&gt;"",Beg_Bal-Sched_Pay&gt;0),Beg_Bal-Sched_Pay,IF(Pay_Num&lt;&gt;"",0,"")))</f>
        <v>0</v>
      </c>
      <c r="F405" s="70">
        <f>IF(AND(Pay_Num&lt;&gt;"",Sched_Pay+Extra_Pay&lt;Beg_Bal),Sched_Pay+Extra_Pay,IF(Pay_Num&lt;&gt;"",Beg_Bal,""))</f>
        <v>0</v>
      </c>
      <c r="G405" s="70">
        <f>IF(Pay_Num&lt;&gt;"",Total_Pay-Int,"")</f>
        <v>0</v>
      </c>
      <c r="H405" s="70">
        <f>IF(Pay_Num&lt;&gt;"",Beg_Bal*Interest_Rate/Num_Pmt_Per_Year,"")</f>
        <v>0</v>
      </c>
      <c r="I405" s="70">
        <f>IF(AND(Pay_Num&lt;&gt;"",Sched_Pay+Extra_Pay&lt;Beg_Bal),Beg_Bal-Princ,IF(Pay_Num&lt;&gt;"",0,""))</f>
        <v>0</v>
      </c>
      <c r="J405" s="70">
        <f>SUM($H$18:$H405)</f>
        <v>431201.75350020552</v>
      </c>
    </row>
    <row r="406" spans="1:10" x14ac:dyDescent="0.3">
      <c r="A406" s="36">
        <f>IF(Values_Entered,A405+1,"")</f>
        <v>389</v>
      </c>
      <c r="B406" s="35">
        <f>IF(Pay_Num&lt;&gt;"",DATE(YEAR(Loan_Start),MONTH(Loan_Start)+(Pay_Num)*12/Num_Pmt_Per_Year,DAY(Loan_Start)),"")</f>
        <v>81705</v>
      </c>
      <c r="C406" s="70">
        <f>IF(Pay_Num&lt;&gt;"",I405,"")</f>
        <v>0</v>
      </c>
      <c r="D406" s="70">
        <f>IF(Pay_Num&lt;&gt;"",Scheduled_Monthly_Payment,"")</f>
        <v>71560.087675010276</v>
      </c>
      <c r="E406" s="71">
        <f>IF(AND(Pay_Num&lt;&gt;"",Sched_Pay+Scheduled_Extra_Payments&lt;Beg_Bal),Scheduled_Extra_Payments,IF(AND(Pay_Num&lt;&gt;"",Beg_Bal-Sched_Pay&gt;0),Beg_Bal-Sched_Pay,IF(Pay_Num&lt;&gt;"",0,"")))</f>
        <v>0</v>
      </c>
      <c r="F406" s="70">
        <f>IF(AND(Pay_Num&lt;&gt;"",Sched_Pay+Extra_Pay&lt;Beg_Bal),Sched_Pay+Extra_Pay,IF(Pay_Num&lt;&gt;"",Beg_Bal,""))</f>
        <v>0</v>
      </c>
      <c r="G406" s="70">
        <f>IF(Pay_Num&lt;&gt;"",Total_Pay-Int,"")</f>
        <v>0</v>
      </c>
      <c r="H406" s="70">
        <f>IF(Pay_Num&lt;&gt;"",Beg_Bal*Interest_Rate/Num_Pmt_Per_Year,"")</f>
        <v>0</v>
      </c>
      <c r="I406" s="70">
        <f>IF(AND(Pay_Num&lt;&gt;"",Sched_Pay+Extra_Pay&lt;Beg_Bal),Beg_Bal-Princ,IF(Pay_Num&lt;&gt;"",0,""))</f>
        <v>0</v>
      </c>
      <c r="J406" s="70">
        <f>SUM($H$18:$H406)</f>
        <v>431201.75350020552</v>
      </c>
    </row>
    <row r="407" spans="1:10" x14ac:dyDescent="0.3">
      <c r="A407" s="36">
        <f>IF(Values_Entered,A406+1,"")</f>
        <v>390</v>
      </c>
      <c r="B407" s="35">
        <f>IF(Pay_Num&lt;&gt;"",DATE(YEAR(Loan_Start),MONTH(Loan_Start)+(Pay_Num)*12/Num_Pmt_Per_Year,DAY(Loan_Start)),"")</f>
        <v>81796</v>
      </c>
      <c r="C407" s="70">
        <f>IF(Pay_Num&lt;&gt;"",I406,"")</f>
        <v>0</v>
      </c>
      <c r="D407" s="70">
        <f>IF(Pay_Num&lt;&gt;"",Scheduled_Monthly_Payment,"")</f>
        <v>71560.087675010276</v>
      </c>
      <c r="E407" s="71">
        <f>IF(AND(Pay_Num&lt;&gt;"",Sched_Pay+Scheduled_Extra_Payments&lt;Beg_Bal),Scheduled_Extra_Payments,IF(AND(Pay_Num&lt;&gt;"",Beg_Bal-Sched_Pay&gt;0),Beg_Bal-Sched_Pay,IF(Pay_Num&lt;&gt;"",0,"")))</f>
        <v>0</v>
      </c>
      <c r="F407" s="70">
        <f>IF(AND(Pay_Num&lt;&gt;"",Sched_Pay+Extra_Pay&lt;Beg_Bal),Sched_Pay+Extra_Pay,IF(Pay_Num&lt;&gt;"",Beg_Bal,""))</f>
        <v>0</v>
      </c>
      <c r="G407" s="70">
        <f>IF(Pay_Num&lt;&gt;"",Total_Pay-Int,"")</f>
        <v>0</v>
      </c>
      <c r="H407" s="70">
        <f>IF(Pay_Num&lt;&gt;"",Beg_Bal*Interest_Rate/Num_Pmt_Per_Year,"")</f>
        <v>0</v>
      </c>
      <c r="I407" s="70">
        <f>IF(AND(Pay_Num&lt;&gt;"",Sched_Pay+Extra_Pay&lt;Beg_Bal),Beg_Bal-Princ,IF(Pay_Num&lt;&gt;"",0,""))</f>
        <v>0</v>
      </c>
      <c r="J407" s="70">
        <f>SUM($H$18:$H407)</f>
        <v>431201.75350020552</v>
      </c>
    </row>
    <row r="408" spans="1:10" x14ac:dyDescent="0.3">
      <c r="A408" s="36">
        <f>IF(Values_Entered,A407+1,"")</f>
        <v>391</v>
      </c>
      <c r="B408" s="35">
        <f>IF(Pay_Num&lt;&gt;"",DATE(YEAR(Loan_Start),MONTH(Loan_Start)+(Pay_Num)*12/Num_Pmt_Per_Year,DAY(Loan_Start)),"")</f>
        <v>81887</v>
      </c>
      <c r="C408" s="70">
        <f>IF(Pay_Num&lt;&gt;"",I407,"")</f>
        <v>0</v>
      </c>
      <c r="D408" s="70">
        <f>IF(Pay_Num&lt;&gt;"",Scheduled_Monthly_Payment,"")</f>
        <v>71560.087675010276</v>
      </c>
      <c r="E408" s="71">
        <f>IF(AND(Pay_Num&lt;&gt;"",Sched_Pay+Scheduled_Extra_Payments&lt;Beg_Bal),Scheduled_Extra_Payments,IF(AND(Pay_Num&lt;&gt;"",Beg_Bal-Sched_Pay&gt;0),Beg_Bal-Sched_Pay,IF(Pay_Num&lt;&gt;"",0,"")))</f>
        <v>0</v>
      </c>
      <c r="F408" s="70">
        <f>IF(AND(Pay_Num&lt;&gt;"",Sched_Pay+Extra_Pay&lt;Beg_Bal),Sched_Pay+Extra_Pay,IF(Pay_Num&lt;&gt;"",Beg_Bal,""))</f>
        <v>0</v>
      </c>
      <c r="G408" s="70">
        <f>IF(Pay_Num&lt;&gt;"",Total_Pay-Int,"")</f>
        <v>0</v>
      </c>
      <c r="H408" s="70">
        <f>IF(Pay_Num&lt;&gt;"",Beg_Bal*Interest_Rate/Num_Pmt_Per_Year,"")</f>
        <v>0</v>
      </c>
      <c r="I408" s="70">
        <f>IF(AND(Pay_Num&lt;&gt;"",Sched_Pay+Extra_Pay&lt;Beg_Bal),Beg_Bal-Princ,IF(Pay_Num&lt;&gt;"",0,""))</f>
        <v>0</v>
      </c>
      <c r="J408" s="70">
        <f>SUM($H$18:$H408)</f>
        <v>431201.75350020552</v>
      </c>
    </row>
    <row r="409" spans="1:10" x14ac:dyDescent="0.3">
      <c r="A409" s="36">
        <f>IF(Values_Entered,A408+1,"")</f>
        <v>392</v>
      </c>
      <c r="B409" s="35">
        <f>IF(Pay_Num&lt;&gt;"",DATE(YEAR(Loan_Start),MONTH(Loan_Start)+(Pay_Num)*12/Num_Pmt_Per_Year,DAY(Loan_Start)),"")</f>
        <v>81979</v>
      </c>
      <c r="C409" s="70">
        <f>IF(Pay_Num&lt;&gt;"",I408,"")</f>
        <v>0</v>
      </c>
      <c r="D409" s="70">
        <f>IF(Pay_Num&lt;&gt;"",Scheduled_Monthly_Payment,"")</f>
        <v>71560.087675010276</v>
      </c>
      <c r="E409" s="71">
        <f>IF(AND(Pay_Num&lt;&gt;"",Sched_Pay+Scheduled_Extra_Payments&lt;Beg_Bal),Scheduled_Extra_Payments,IF(AND(Pay_Num&lt;&gt;"",Beg_Bal-Sched_Pay&gt;0),Beg_Bal-Sched_Pay,IF(Pay_Num&lt;&gt;"",0,"")))</f>
        <v>0</v>
      </c>
      <c r="F409" s="70">
        <f>IF(AND(Pay_Num&lt;&gt;"",Sched_Pay+Extra_Pay&lt;Beg_Bal),Sched_Pay+Extra_Pay,IF(Pay_Num&lt;&gt;"",Beg_Bal,""))</f>
        <v>0</v>
      </c>
      <c r="G409" s="70">
        <f>IF(Pay_Num&lt;&gt;"",Total_Pay-Int,"")</f>
        <v>0</v>
      </c>
      <c r="H409" s="70">
        <f>IF(Pay_Num&lt;&gt;"",Beg_Bal*Interest_Rate/Num_Pmt_Per_Year,"")</f>
        <v>0</v>
      </c>
      <c r="I409" s="70">
        <f>IF(AND(Pay_Num&lt;&gt;"",Sched_Pay+Extra_Pay&lt;Beg_Bal),Beg_Bal-Princ,IF(Pay_Num&lt;&gt;"",0,""))</f>
        <v>0</v>
      </c>
      <c r="J409" s="70">
        <f>SUM($H$18:$H409)</f>
        <v>431201.75350020552</v>
      </c>
    </row>
    <row r="410" spans="1:10" x14ac:dyDescent="0.3">
      <c r="A410" s="36">
        <f>IF(Values_Entered,A409+1,"")</f>
        <v>393</v>
      </c>
      <c r="B410" s="35">
        <f>IF(Pay_Num&lt;&gt;"",DATE(YEAR(Loan_Start),MONTH(Loan_Start)+(Pay_Num)*12/Num_Pmt_Per_Year,DAY(Loan_Start)),"")</f>
        <v>82071</v>
      </c>
      <c r="C410" s="70">
        <f>IF(Pay_Num&lt;&gt;"",I409,"")</f>
        <v>0</v>
      </c>
      <c r="D410" s="70">
        <f>IF(Pay_Num&lt;&gt;"",Scheduled_Monthly_Payment,"")</f>
        <v>71560.087675010276</v>
      </c>
      <c r="E410" s="71">
        <f>IF(AND(Pay_Num&lt;&gt;"",Sched_Pay+Scheduled_Extra_Payments&lt;Beg_Bal),Scheduled_Extra_Payments,IF(AND(Pay_Num&lt;&gt;"",Beg_Bal-Sched_Pay&gt;0),Beg_Bal-Sched_Pay,IF(Pay_Num&lt;&gt;"",0,"")))</f>
        <v>0</v>
      </c>
      <c r="F410" s="70">
        <f>IF(AND(Pay_Num&lt;&gt;"",Sched_Pay+Extra_Pay&lt;Beg_Bal),Sched_Pay+Extra_Pay,IF(Pay_Num&lt;&gt;"",Beg_Bal,""))</f>
        <v>0</v>
      </c>
      <c r="G410" s="70">
        <f>IF(Pay_Num&lt;&gt;"",Total_Pay-Int,"")</f>
        <v>0</v>
      </c>
      <c r="H410" s="70">
        <f>IF(Pay_Num&lt;&gt;"",Beg_Bal*Interest_Rate/Num_Pmt_Per_Year,"")</f>
        <v>0</v>
      </c>
      <c r="I410" s="70">
        <f>IF(AND(Pay_Num&lt;&gt;"",Sched_Pay+Extra_Pay&lt;Beg_Bal),Beg_Bal-Princ,IF(Pay_Num&lt;&gt;"",0,""))</f>
        <v>0</v>
      </c>
      <c r="J410" s="70">
        <f>SUM($H$18:$H410)</f>
        <v>431201.75350020552</v>
      </c>
    </row>
    <row r="411" spans="1:10" x14ac:dyDescent="0.3">
      <c r="A411" s="36">
        <f>IF(Values_Entered,A410+1,"")</f>
        <v>394</v>
      </c>
      <c r="B411" s="35">
        <f>IF(Pay_Num&lt;&gt;"",DATE(YEAR(Loan_Start),MONTH(Loan_Start)+(Pay_Num)*12/Num_Pmt_Per_Year,DAY(Loan_Start)),"")</f>
        <v>82162</v>
      </c>
      <c r="C411" s="70">
        <f>IF(Pay_Num&lt;&gt;"",I410,"")</f>
        <v>0</v>
      </c>
      <c r="D411" s="70">
        <f>IF(Pay_Num&lt;&gt;"",Scheduled_Monthly_Payment,"")</f>
        <v>71560.087675010276</v>
      </c>
      <c r="E411" s="71">
        <f>IF(AND(Pay_Num&lt;&gt;"",Sched_Pay+Scheduled_Extra_Payments&lt;Beg_Bal),Scheduled_Extra_Payments,IF(AND(Pay_Num&lt;&gt;"",Beg_Bal-Sched_Pay&gt;0),Beg_Bal-Sched_Pay,IF(Pay_Num&lt;&gt;"",0,"")))</f>
        <v>0</v>
      </c>
      <c r="F411" s="70">
        <f>IF(AND(Pay_Num&lt;&gt;"",Sched_Pay+Extra_Pay&lt;Beg_Bal),Sched_Pay+Extra_Pay,IF(Pay_Num&lt;&gt;"",Beg_Bal,""))</f>
        <v>0</v>
      </c>
      <c r="G411" s="70">
        <f>IF(Pay_Num&lt;&gt;"",Total_Pay-Int,"")</f>
        <v>0</v>
      </c>
      <c r="H411" s="70">
        <f>IF(Pay_Num&lt;&gt;"",Beg_Bal*Interest_Rate/Num_Pmt_Per_Year,"")</f>
        <v>0</v>
      </c>
      <c r="I411" s="70">
        <f>IF(AND(Pay_Num&lt;&gt;"",Sched_Pay+Extra_Pay&lt;Beg_Bal),Beg_Bal-Princ,IF(Pay_Num&lt;&gt;"",0,""))</f>
        <v>0</v>
      </c>
      <c r="J411" s="70">
        <f>SUM($H$18:$H411)</f>
        <v>431201.75350020552</v>
      </c>
    </row>
    <row r="412" spans="1:10" x14ac:dyDescent="0.3">
      <c r="A412" s="36">
        <f>IF(Values_Entered,A411+1,"")</f>
        <v>395</v>
      </c>
      <c r="B412" s="35">
        <f>IF(Pay_Num&lt;&gt;"",DATE(YEAR(Loan_Start),MONTH(Loan_Start)+(Pay_Num)*12/Num_Pmt_Per_Year,DAY(Loan_Start)),"")</f>
        <v>82252</v>
      </c>
      <c r="C412" s="70">
        <f>IF(Pay_Num&lt;&gt;"",I411,"")</f>
        <v>0</v>
      </c>
      <c r="D412" s="70">
        <f>IF(Pay_Num&lt;&gt;"",Scheduled_Monthly_Payment,"")</f>
        <v>71560.087675010276</v>
      </c>
      <c r="E412" s="71">
        <f>IF(AND(Pay_Num&lt;&gt;"",Sched_Pay+Scheduled_Extra_Payments&lt;Beg_Bal),Scheduled_Extra_Payments,IF(AND(Pay_Num&lt;&gt;"",Beg_Bal-Sched_Pay&gt;0),Beg_Bal-Sched_Pay,IF(Pay_Num&lt;&gt;"",0,"")))</f>
        <v>0</v>
      </c>
      <c r="F412" s="70">
        <f>IF(AND(Pay_Num&lt;&gt;"",Sched_Pay+Extra_Pay&lt;Beg_Bal),Sched_Pay+Extra_Pay,IF(Pay_Num&lt;&gt;"",Beg_Bal,""))</f>
        <v>0</v>
      </c>
      <c r="G412" s="70">
        <f>IF(Pay_Num&lt;&gt;"",Total_Pay-Int,"")</f>
        <v>0</v>
      </c>
      <c r="H412" s="70">
        <f>IF(Pay_Num&lt;&gt;"",Beg_Bal*Interest_Rate/Num_Pmt_Per_Year,"")</f>
        <v>0</v>
      </c>
      <c r="I412" s="70">
        <f>IF(AND(Pay_Num&lt;&gt;"",Sched_Pay+Extra_Pay&lt;Beg_Bal),Beg_Bal-Princ,IF(Pay_Num&lt;&gt;"",0,""))</f>
        <v>0</v>
      </c>
      <c r="J412" s="70">
        <f>SUM($H$18:$H412)</f>
        <v>431201.75350020552</v>
      </c>
    </row>
    <row r="413" spans="1:10" x14ac:dyDescent="0.3">
      <c r="A413" s="36">
        <f>IF(Values_Entered,A412+1,"")</f>
        <v>396</v>
      </c>
      <c r="B413" s="35">
        <f>IF(Pay_Num&lt;&gt;"",DATE(YEAR(Loan_Start),MONTH(Loan_Start)+(Pay_Num)*12/Num_Pmt_Per_Year,DAY(Loan_Start)),"")</f>
        <v>82344</v>
      </c>
      <c r="C413" s="70">
        <f>IF(Pay_Num&lt;&gt;"",I412,"")</f>
        <v>0</v>
      </c>
      <c r="D413" s="70">
        <f>IF(Pay_Num&lt;&gt;"",Scheduled_Monthly_Payment,"")</f>
        <v>71560.087675010276</v>
      </c>
      <c r="E413" s="71">
        <f>IF(AND(Pay_Num&lt;&gt;"",Sched_Pay+Scheduled_Extra_Payments&lt;Beg_Bal),Scheduled_Extra_Payments,IF(AND(Pay_Num&lt;&gt;"",Beg_Bal-Sched_Pay&gt;0),Beg_Bal-Sched_Pay,IF(Pay_Num&lt;&gt;"",0,"")))</f>
        <v>0</v>
      </c>
      <c r="F413" s="70">
        <f>IF(AND(Pay_Num&lt;&gt;"",Sched_Pay+Extra_Pay&lt;Beg_Bal),Sched_Pay+Extra_Pay,IF(Pay_Num&lt;&gt;"",Beg_Bal,""))</f>
        <v>0</v>
      </c>
      <c r="G413" s="70">
        <f>IF(Pay_Num&lt;&gt;"",Total_Pay-Int,"")</f>
        <v>0</v>
      </c>
      <c r="H413" s="70">
        <f>IF(Pay_Num&lt;&gt;"",Beg_Bal*Interest_Rate/Num_Pmt_Per_Year,"")</f>
        <v>0</v>
      </c>
      <c r="I413" s="70">
        <f>IF(AND(Pay_Num&lt;&gt;"",Sched_Pay+Extra_Pay&lt;Beg_Bal),Beg_Bal-Princ,IF(Pay_Num&lt;&gt;"",0,""))</f>
        <v>0</v>
      </c>
      <c r="J413" s="70">
        <f>SUM($H$18:$H413)</f>
        <v>431201.75350020552</v>
      </c>
    </row>
    <row r="414" spans="1:10" x14ac:dyDescent="0.3">
      <c r="A414" s="36">
        <f>IF(Values_Entered,A413+1,"")</f>
        <v>397</v>
      </c>
      <c r="B414" s="35">
        <f>IF(Pay_Num&lt;&gt;"",DATE(YEAR(Loan_Start),MONTH(Loan_Start)+(Pay_Num)*12/Num_Pmt_Per_Year,DAY(Loan_Start)),"")</f>
        <v>82436</v>
      </c>
      <c r="C414" s="70">
        <f>IF(Pay_Num&lt;&gt;"",I413,"")</f>
        <v>0</v>
      </c>
      <c r="D414" s="70">
        <f>IF(Pay_Num&lt;&gt;"",Scheduled_Monthly_Payment,"")</f>
        <v>71560.087675010276</v>
      </c>
      <c r="E414" s="71">
        <f>IF(AND(Pay_Num&lt;&gt;"",Sched_Pay+Scheduled_Extra_Payments&lt;Beg_Bal),Scheduled_Extra_Payments,IF(AND(Pay_Num&lt;&gt;"",Beg_Bal-Sched_Pay&gt;0),Beg_Bal-Sched_Pay,IF(Pay_Num&lt;&gt;"",0,"")))</f>
        <v>0</v>
      </c>
      <c r="F414" s="70">
        <f>IF(AND(Pay_Num&lt;&gt;"",Sched_Pay+Extra_Pay&lt;Beg_Bal),Sched_Pay+Extra_Pay,IF(Pay_Num&lt;&gt;"",Beg_Bal,""))</f>
        <v>0</v>
      </c>
      <c r="G414" s="70">
        <f>IF(Pay_Num&lt;&gt;"",Total_Pay-Int,"")</f>
        <v>0</v>
      </c>
      <c r="H414" s="70">
        <f>IF(Pay_Num&lt;&gt;"",Beg_Bal*Interest_Rate/Num_Pmt_Per_Year,"")</f>
        <v>0</v>
      </c>
      <c r="I414" s="70">
        <f>IF(AND(Pay_Num&lt;&gt;"",Sched_Pay+Extra_Pay&lt;Beg_Bal),Beg_Bal-Princ,IF(Pay_Num&lt;&gt;"",0,""))</f>
        <v>0</v>
      </c>
      <c r="J414" s="70">
        <f>SUM($H$18:$H414)</f>
        <v>431201.75350020552</v>
      </c>
    </row>
    <row r="415" spans="1:10" x14ac:dyDescent="0.3">
      <c r="A415" s="36">
        <f>IF(Values_Entered,A414+1,"")</f>
        <v>398</v>
      </c>
      <c r="B415" s="35">
        <f>IF(Pay_Num&lt;&gt;"",DATE(YEAR(Loan_Start),MONTH(Loan_Start)+(Pay_Num)*12/Num_Pmt_Per_Year,DAY(Loan_Start)),"")</f>
        <v>82527</v>
      </c>
      <c r="C415" s="70">
        <f>IF(Pay_Num&lt;&gt;"",I414,"")</f>
        <v>0</v>
      </c>
      <c r="D415" s="70">
        <f>IF(Pay_Num&lt;&gt;"",Scheduled_Monthly_Payment,"")</f>
        <v>71560.087675010276</v>
      </c>
      <c r="E415" s="71">
        <f>IF(AND(Pay_Num&lt;&gt;"",Sched_Pay+Scheduled_Extra_Payments&lt;Beg_Bal),Scheduled_Extra_Payments,IF(AND(Pay_Num&lt;&gt;"",Beg_Bal-Sched_Pay&gt;0),Beg_Bal-Sched_Pay,IF(Pay_Num&lt;&gt;"",0,"")))</f>
        <v>0</v>
      </c>
      <c r="F415" s="70">
        <f>IF(AND(Pay_Num&lt;&gt;"",Sched_Pay+Extra_Pay&lt;Beg_Bal),Sched_Pay+Extra_Pay,IF(Pay_Num&lt;&gt;"",Beg_Bal,""))</f>
        <v>0</v>
      </c>
      <c r="G415" s="70">
        <f>IF(Pay_Num&lt;&gt;"",Total_Pay-Int,"")</f>
        <v>0</v>
      </c>
      <c r="H415" s="70">
        <f>IF(Pay_Num&lt;&gt;"",Beg_Bal*Interest_Rate/Num_Pmt_Per_Year,"")</f>
        <v>0</v>
      </c>
      <c r="I415" s="70">
        <f>IF(AND(Pay_Num&lt;&gt;"",Sched_Pay+Extra_Pay&lt;Beg_Bal),Beg_Bal-Princ,IF(Pay_Num&lt;&gt;"",0,""))</f>
        <v>0</v>
      </c>
      <c r="J415" s="70">
        <f>SUM($H$18:$H415)</f>
        <v>431201.75350020552</v>
      </c>
    </row>
    <row r="416" spans="1:10" x14ac:dyDescent="0.3">
      <c r="A416" s="36">
        <f>IF(Values_Entered,A415+1,"")</f>
        <v>399</v>
      </c>
      <c r="B416" s="35">
        <f>IF(Pay_Num&lt;&gt;"",DATE(YEAR(Loan_Start),MONTH(Loan_Start)+(Pay_Num)*12/Num_Pmt_Per_Year,DAY(Loan_Start)),"")</f>
        <v>82617</v>
      </c>
      <c r="C416" s="70">
        <f>IF(Pay_Num&lt;&gt;"",I415,"")</f>
        <v>0</v>
      </c>
      <c r="D416" s="70">
        <f>IF(Pay_Num&lt;&gt;"",Scheduled_Monthly_Payment,"")</f>
        <v>71560.087675010276</v>
      </c>
      <c r="E416" s="71">
        <f>IF(AND(Pay_Num&lt;&gt;"",Sched_Pay+Scheduled_Extra_Payments&lt;Beg_Bal),Scheduled_Extra_Payments,IF(AND(Pay_Num&lt;&gt;"",Beg_Bal-Sched_Pay&gt;0),Beg_Bal-Sched_Pay,IF(Pay_Num&lt;&gt;"",0,"")))</f>
        <v>0</v>
      </c>
      <c r="F416" s="70">
        <f>IF(AND(Pay_Num&lt;&gt;"",Sched_Pay+Extra_Pay&lt;Beg_Bal),Sched_Pay+Extra_Pay,IF(Pay_Num&lt;&gt;"",Beg_Bal,""))</f>
        <v>0</v>
      </c>
      <c r="G416" s="70">
        <f>IF(Pay_Num&lt;&gt;"",Total_Pay-Int,"")</f>
        <v>0</v>
      </c>
      <c r="H416" s="70">
        <f>IF(Pay_Num&lt;&gt;"",Beg_Bal*Interest_Rate/Num_Pmt_Per_Year,"")</f>
        <v>0</v>
      </c>
      <c r="I416" s="70">
        <f>IF(AND(Pay_Num&lt;&gt;"",Sched_Pay+Extra_Pay&lt;Beg_Bal),Beg_Bal-Princ,IF(Pay_Num&lt;&gt;"",0,""))</f>
        <v>0</v>
      </c>
      <c r="J416" s="70">
        <f>SUM($H$18:$H416)</f>
        <v>431201.75350020552</v>
      </c>
    </row>
    <row r="417" spans="1:10" x14ac:dyDescent="0.3">
      <c r="A417" s="36">
        <f>IF(Values_Entered,A416+1,"")</f>
        <v>400</v>
      </c>
      <c r="B417" s="35">
        <f>IF(Pay_Num&lt;&gt;"",DATE(YEAR(Loan_Start),MONTH(Loan_Start)+(Pay_Num)*12/Num_Pmt_Per_Year,DAY(Loan_Start)),"")</f>
        <v>82709</v>
      </c>
      <c r="C417" s="70">
        <f>IF(Pay_Num&lt;&gt;"",I416,"")</f>
        <v>0</v>
      </c>
      <c r="D417" s="70">
        <f>IF(Pay_Num&lt;&gt;"",Scheduled_Monthly_Payment,"")</f>
        <v>71560.087675010276</v>
      </c>
      <c r="E417" s="71">
        <f>IF(AND(Pay_Num&lt;&gt;"",Sched_Pay+Scheduled_Extra_Payments&lt;Beg_Bal),Scheduled_Extra_Payments,IF(AND(Pay_Num&lt;&gt;"",Beg_Bal-Sched_Pay&gt;0),Beg_Bal-Sched_Pay,IF(Pay_Num&lt;&gt;"",0,"")))</f>
        <v>0</v>
      </c>
      <c r="F417" s="70">
        <f>IF(AND(Pay_Num&lt;&gt;"",Sched_Pay+Extra_Pay&lt;Beg_Bal),Sched_Pay+Extra_Pay,IF(Pay_Num&lt;&gt;"",Beg_Bal,""))</f>
        <v>0</v>
      </c>
      <c r="G417" s="70">
        <f>IF(Pay_Num&lt;&gt;"",Total_Pay-Int,"")</f>
        <v>0</v>
      </c>
      <c r="H417" s="70">
        <f>IF(Pay_Num&lt;&gt;"",Beg_Bal*Interest_Rate/Num_Pmt_Per_Year,"")</f>
        <v>0</v>
      </c>
      <c r="I417" s="70">
        <f>IF(AND(Pay_Num&lt;&gt;"",Sched_Pay+Extra_Pay&lt;Beg_Bal),Beg_Bal-Princ,IF(Pay_Num&lt;&gt;"",0,""))</f>
        <v>0</v>
      </c>
      <c r="J417" s="70">
        <f>SUM($H$18:$H417)</f>
        <v>431201.75350020552</v>
      </c>
    </row>
    <row r="418" spans="1:10" x14ac:dyDescent="0.3">
      <c r="A418" s="36">
        <f>IF(Values_Entered,A417+1,"")</f>
        <v>401</v>
      </c>
      <c r="B418" s="35">
        <f>IF(Pay_Num&lt;&gt;"",DATE(YEAR(Loan_Start),MONTH(Loan_Start)+(Pay_Num)*12/Num_Pmt_Per_Year,DAY(Loan_Start)),"")</f>
        <v>82801</v>
      </c>
      <c r="C418" s="70">
        <f>IF(Pay_Num&lt;&gt;"",I417,"")</f>
        <v>0</v>
      </c>
      <c r="D418" s="70">
        <f>IF(Pay_Num&lt;&gt;"",Scheduled_Monthly_Payment,"")</f>
        <v>71560.087675010276</v>
      </c>
      <c r="E418" s="71">
        <f>IF(AND(Pay_Num&lt;&gt;"",Sched_Pay+Scheduled_Extra_Payments&lt;Beg_Bal),Scheduled_Extra_Payments,IF(AND(Pay_Num&lt;&gt;"",Beg_Bal-Sched_Pay&gt;0),Beg_Bal-Sched_Pay,IF(Pay_Num&lt;&gt;"",0,"")))</f>
        <v>0</v>
      </c>
      <c r="F418" s="70">
        <f>IF(AND(Pay_Num&lt;&gt;"",Sched_Pay+Extra_Pay&lt;Beg_Bal),Sched_Pay+Extra_Pay,IF(Pay_Num&lt;&gt;"",Beg_Bal,""))</f>
        <v>0</v>
      </c>
      <c r="G418" s="70">
        <f>IF(Pay_Num&lt;&gt;"",Total_Pay-Int,"")</f>
        <v>0</v>
      </c>
      <c r="H418" s="70">
        <f>IF(Pay_Num&lt;&gt;"",Beg_Bal*Interest_Rate/Num_Pmt_Per_Year,"")</f>
        <v>0</v>
      </c>
      <c r="I418" s="70">
        <f>IF(AND(Pay_Num&lt;&gt;"",Sched_Pay+Extra_Pay&lt;Beg_Bal),Beg_Bal-Princ,IF(Pay_Num&lt;&gt;"",0,""))</f>
        <v>0</v>
      </c>
      <c r="J418" s="70">
        <f>SUM($H$18:$H418)</f>
        <v>431201.75350020552</v>
      </c>
    </row>
    <row r="419" spans="1:10" x14ac:dyDescent="0.3">
      <c r="A419" s="36">
        <f>IF(Values_Entered,A418+1,"")</f>
        <v>402</v>
      </c>
      <c r="B419" s="35">
        <f>IF(Pay_Num&lt;&gt;"",DATE(YEAR(Loan_Start),MONTH(Loan_Start)+(Pay_Num)*12/Num_Pmt_Per_Year,DAY(Loan_Start)),"")</f>
        <v>82892</v>
      </c>
      <c r="C419" s="70">
        <f>IF(Pay_Num&lt;&gt;"",I418,"")</f>
        <v>0</v>
      </c>
      <c r="D419" s="70">
        <f>IF(Pay_Num&lt;&gt;"",Scheduled_Monthly_Payment,"")</f>
        <v>71560.087675010276</v>
      </c>
      <c r="E419" s="71">
        <f>IF(AND(Pay_Num&lt;&gt;"",Sched_Pay+Scheduled_Extra_Payments&lt;Beg_Bal),Scheduled_Extra_Payments,IF(AND(Pay_Num&lt;&gt;"",Beg_Bal-Sched_Pay&gt;0),Beg_Bal-Sched_Pay,IF(Pay_Num&lt;&gt;"",0,"")))</f>
        <v>0</v>
      </c>
      <c r="F419" s="70">
        <f>IF(AND(Pay_Num&lt;&gt;"",Sched_Pay+Extra_Pay&lt;Beg_Bal),Sched_Pay+Extra_Pay,IF(Pay_Num&lt;&gt;"",Beg_Bal,""))</f>
        <v>0</v>
      </c>
      <c r="G419" s="70">
        <f>IF(Pay_Num&lt;&gt;"",Total_Pay-Int,"")</f>
        <v>0</v>
      </c>
      <c r="H419" s="70">
        <f>IF(Pay_Num&lt;&gt;"",Beg_Bal*Interest_Rate/Num_Pmt_Per_Year,"")</f>
        <v>0</v>
      </c>
      <c r="I419" s="70">
        <f>IF(AND(Pay_Num&lt;&gt;"",Sched_Pay+Extra_Pay&lt;Beg_Bal),Beg_Bal-Princ,IF(Pay_Num&lt;&gt;"",0,""))</f>
        <v>0</v>
      </c>
      <c r="J419" s="70">
        <f>SUM($H$18:$H419)</f>
        <v>431201.75350020552</v>
      </c>
    </row>
    <row r="420" spans="1:10" x14ac:dyDescent="0.3">
      <c r="A420" s="36">
        <f>IF(Values_Entered,A419+1,"")</f>
        <v>403</v>
      </c>
      <c r="B420" s="35">
        <f>IF(Pay_Num&lt;&gt;"",DATE(YEAR(Loan_Start),MONTH(Loan_Start)+(Pay_Num)*12/Num_Pmt_Per_Year,DAY(Loan_Start)),"")</f>
        <v>82982</v>
      </c>
      <c r="C420" s="70">
        <f>IF(Pay_Num&lt;&gt;"",I419,"")</f>
        <v>0</v>
      </c>
      <c r="D420" s="70">
        <f>IF(Pay_Num&lt;&gt;"",Scheduled_Monthly_Payment,"")</f>
        <v>71560.087675010276</v>
      </c>
      <c r="E420" s="71">
        <f>IF(AND(Pay_Num&lt;&gt;"",Sched_Pay+Scheduled_Extra_Payments&lt;Beg_Bal),Scheduled_Extra_Payments,IF(AND(Pay_Num&lt;&gt;"",Beg_Bal-Sched_Pay&gt;0),Beg_Bal-Sched_Pay,IF(Pay_Num&lt;&gt;"",0,"")))</f>
        <v>0</v>
      </c>
      <c r="F420" s="70">
        <f>IF(AND(Pay_Num&lt;&gt;"",Sched_Pay+Extra_Pay&lt;Beg_Bal),Sched_Pay+Extra_Pay,IF(Pay_Num&lt;&gt;"",Beg_Bal,""))</f>
        <v>0</v>
      </c>
      <c r="G420" s="70">
        <f>IF(Pay_Num&lt;&gt;"",Total_Pay-Int,"")</f>
        <v>0</v>
      </c>
      <c r="H420" s="70">
        <f>IF(Pay_Num&lt;&gt;"",Beg_Bal*Interest_Rate/Num_Pmt_Per_Year,"")</f>
        <v>0</v>
      </c>
      <c r="I420" s="70">
        <f>IF(AND(Pay_Num&lt;&gt;"",Sched_Pay+Extra_Pay&lt;Beg_Bal),Beg_Bal-Princ,IF(Pay_Num&lt;&gt;"",0,""))</f>
        <v>0</v>
      </c>
      <c r="J420" s="70">
        <f>SUM($H$18:$H420)</f>
        <v>431201.75350020552</v>
      </c>
    </row>
    <row r="421" spans="1:10" x14ac:dyDescent="0.3">
      <c r="A421" s="36">
        <f>IF(Values_Entered,A420+1,"")</f>
        <v>404</v>
      </c>
      <c r="B421" s="35">
        <f>IF(Pay_Num&lt;&gt;"",DATE(YEAR(Loan_Start),MONTH(Loan_Start)+(Pay_Num)*12/Num_Pmt_Per_Year,DAY(Loan_Start)),"")</f>
        <v>83074</v>
      </c>
      <c r="C421" s="70">
        <f>IF(Pay_Num&lt;&gt;"",I420,"")</f>
        <v>0</v>
      </c>
      <c r="D421" s="70">
        <f>IF(Pay_Num&lt;&gt;"",Scheduled_Monthly_Payment,"")</f>
        <v>71560.087675010276</v>
      </c>
      <c r="E421" s="71">
        <f>IF(AND(Pay_Num&lt;&gt;"",Sched_Pay+Scheduled_Extra_Payments&lt;Beg_Bal),Scheduled_Extra_Payments,IF(AND(Pay_Num&lt;&gt;"",Beg_Bal-Sched_Pay&gt;0),Beg_Bal-Sched_Pay,IF(Pay_Num&lt;&gt;"",0,"")))</f>
        <v>0</v>
      </c>
      <c r="F421" s="70">
        <f>IF(AND(Pay_Num&lt;&gt;"",Sched_Pay+Extra_Pay&lt;Beg_Bal),Sched_Pay+Extra_Pay,IF(Pay_Num&lt;&gt;"",Beg_Bal,""))</f>
        <v>0</v>
      </c>
      <c r="G421" s="70">
        <f>IF(Pay_Num&lt;&gt;"",Total_Pay-Int,"")</f>
        <v>0</v>
      </c>
      <c r="H421" s="70">
        <f>IF(Pay_Num&lt;&gt;"",Beg_Bal*Interest_Rate/Num_Pmt_Per_Year,"")</f>
        <v>0</v>
      </c>
      <c r="I421" s="70">
        <f>IF(AND(Pay_Num&lt;&gt;"",Sched_Pay+Extra_Pay&lt;Beg_Bal),Beg_Bal-Princ,IF(Pay_Num&lt;&gt;"",0,""))</f>
        <v>0</v>
      </c>
      <c r="J421" s="70">
        <f>SUM($H$18:$H421)</f>
        <v>431201.75350020552</v>
      </c>
    </row>
    <row r="422" spans="1:10" x14ac:dyDescent="0.3">
      <c r="A422" s="36">
        <f>IF(Values_Entered,A421+1,"")</f>
        <v>405</v>
      </c>
      <c r="B422" s="35">
        <f>IF(Pay_Num&lt;&gt;"",DATE(YEAR(Loan_Start),MONTH(Loan_Start)+(Pay_Num)*12/Num_Pmt_Per_Year,DAY(Loan_Start)),"")</f>
        <v>83166</v>
      </c>
      <c r="C422" s="70">
        <f>IF(Pay_Num&lt;&gt;"",I421,"")</f>
        <v>0</v>
      </c>
      <c r="D422" s="70">
        <f>IF(Pay_Num&lt;&gt;"",Scheduled_Monthly_Payment,"")</f>
        <v>71560.087675010276</v>
      </c>
      <c r="E422" s="71">
        <f>IF(AND(Pay_Num&lt;&gt;"",Sched_Pay+Scheduled_Extra_Payments&lt;Beg_Bal),Scheduled_Extra_Payments,IF(AND(Pay_Num&lt;&gt;"",Beg_Bal-Sched_Pay&gt;0),Beg_Bal-Sched_Pay,IF(Pay_Num&lt;&gt;"",0,"")))</f>
        <v>0</v>
      </c>
      <c r="F422" s="70">
        <f>IF(AND(Pay_Num&lt;&gt;"",Sched_Pay+Extra_Pay&lt;Beg_Bal),Sched_Pay+Extra_Pay,IF(Pay_Num&lt;&gt;"",Beg_Bal,""))</f>
        <v>0</v>
      </c>
      <c r="G422" s="70">
        <f>IF(Pay_Num&lt;&gt;"",Total_Pay-Int,"")</f>
        <v>0</v>
      </c>
      <c r="H422" s="70">
        <f>IF(Pay_Num&lt;&gt;"",Beg_Bal*Interest_Rate/Num_Pmt_Per_Year,"")</f>
        <v>0</v>
      </c>
      <c r="I422" s="70">
        <f>IF(AND(Pay_Num&lt;&gt;"",Sched_Pay+Extra_Pay&lt;Beg_Bal),Beg_Bal-Princ,IF(Pay_Num&lt;&gt;"",0,""))</f>
        <v>0</v>
      </c>
      <c r="J422" s="70">
        <f>SUM($H$18:$H422)</f>
        <v>431201.75350020552</v>
      </c>
    </row>
    <row r="423" spans="1:10" x14ac:dyDescent="0.3">
      <c r="A423" s="36">
        <f>IF(Values_Entered,A422+1,"")</f>
        <v>406</v>
      </c>
      <c r="B423" s="35">
        <f>IF(Pay_Num&lt;&gt;"",DATE(YEAR(Loan_Start),MONTH(Loan_Start)+(Pay_Num)*12/Num_Pmt_Per_Year,DAY(Loan_Start)),"")</f>
        <v>83257</v>
      </c>
      <c r="C423" s="70">
        <f>IF(Pay_Num&lt;&gt;"",I422,"")</f>
        <v>0</v>
      </c>
      <c r="D423" s="70">
        <f>IF(Pay_Num&lt;&gt;"",Scheduled_Monthly_Payment,"")</f>
        <v>71560.087675010276</v>
      </c>
      <c r="E423" s="71">
        <f>IF(AND(Pay_Num&lt;&gt;"",Sched_Pay+Scheduled_Extra_Payments&lt;Beg_Bal),Scheduled_Extra_Payments,IF(AND(Pay_Num&lt;&gt;"",Beg_Bal-Sched_Pay&gt;0),Beg_Bal-Sched_Pay,IF(Pay_Num&lt;&gt;"",0,"")))</f>
        <v>0</v>
      </c>
      <c r="F423" s="70">
        <f>IF(AND(Pay_Num&lt;&gt;"",Sched_Pay+Extra_Pay&lt;Beg_Bal),Sched_Pay+Extra_Pay,IF(Pay_Num&lt;&gt;"",Beg_Bal,""))</f>
        <v>0</v>
      </c>
      <c r="G423" s="70">
        <f>IF(Pay_Num&lt;&gt;"",Total_Pay-Int,"")</f>
        <v>0</v>
      </c>
      <c r="H423" s="70">
        <f>IF(Pay_Num&lt;&gt;"",Beg_Bal*Interest_Rate/Num_Pmt_Per_Year,"")</f>
        <v>0</v>
      </c>
      <c r="I423" s="70">
        <f>IF(AND(Pay_Num&lt;&gt;"",Sched_Pay+Extra_Pay&lt;Beg_Bal),Beg_Bal-Princ,IF(Pay_Num&lt;&gt;"",0,""))</f>
        <v>0</v>
      </c>
      <c r="J423" s="70">
        <f>SUM($H$18:$H423)</f>
        <v>431201.75350020552</v>
      </c>
    </row>
    <row r="424" spans="1:10" x14ac:dyDescent="0.3">
      <c r="A424" s="36">
        <f>IF(Values_Entered,A423+1,"")</f>
        <v>407</v>
      </c>
      <c r="B424" s="35">
        <f>IF(Pay_Num&lt;&gt;"",DATE(YEAR(Loan_Start),MONTH(Loan_Start)+(Pay_Num)*12/Num_Pmt_Per_Year,DAY(Loan_Start)),"")</f>
        <v>83348</v>
      </c>
      <c r="C424" s="70">
        <f>IF(Pay_Num&lt;&gt;"",I423,"")</f>
        <v>0</v>
      </c>
      <c r="D424" s="70">
        <f>IF(Pay_Num&lt;&gt;"",Scheduled_Monthly_Payment,"")</f>
        <v>71560.087675010276</v>
      </c>
      <c r="E424" s="71">
        <f>IF(AND(Pay_Num&lt;&gt;"",Sched_Pay+Scheduled_Extra_Payments&lt;Beg_Bal),Scheduled_Extra_Payments,IF(AND(Pay_Num&lt;&gt;"",Beg_Bal-Sched_Pay&gt;0),Beg_Bal-Sched_Pay,IF(Pay_Num&lt;&gt;"",0,"")))</f>
        <v>0</v>
      </c>
      <c r="F424" s="70">
        <f>IF(AND(Pay_Num&lt;&gt;"",Sched_Pay+Extra_Pay&lt;Beg_Bal),Sched_Pay+Extra_Pay,IF(Pay_Num&lt;&gt;"",Beg_Bal,""))</f>
        <v>0</v>
      </c>
      <c r="G424" s="70">
        <f>IF(Pay_Num&lt;&gt;"",Total_Pay-Int,"")</f>
        <v>0</v>
      </c>
      <c r="H424" s="70">
        <f>IF(Pay_Num&lt;&gt;"",Beg_Bal*Interest_Rate/Num_Pmt_Per_Year,"")</f>
        <v>0</v>
      </c>
      <c r="I424" s="70">
        <f>IF(AND(Pay_Num&lt;&gt;"",Sched_Pay+Extra_Pay&lt;Beg_Bal),Beg_Bal-Princ,IF(Pay_Num&lt;&gt;"",0,""))</f>
        <v>0</v>
      </c>
      <c r="J424" s="70">
        <f>SUM($H$18:$H424)</f>
        <v>431201.75350020552</v>
      </c>
    </row>
    <row r="425" spans="1:10" x14ac:dyDescent="0.3">
      <c r="A425" s="36">
        <f>IF(Values_Entered,A424+1,"")</f>
        <v>408</v>
      </c>
      <c r="B425" s="35">
        <f>IF(Pay_Num&lt;&gt;"",DATE(YEAR(Loan_Start),MONTH(Loan_Start)+(Pay_Num)*12/Num_Pmt_Per_Year,DAY(Loan_Start)),"")</f>
        <v>83440</v>
      </c>
      <c r="C425" s="70">
        <f>IF(Pay_Num&lt;&gt;"",I424,"")</f>
        <v>0</v>
      </c>
      <c r="D425" s="70">
        <f>IF(Pay_Num&lt;&gt;"",Scheduled_Monthly_Payment,"")</f>
        <v>71560.087675010276</v>
      </c>
      <c r="E425" s="71">
        <f>IF(AND(Pay_Num&lt;&gt;"",Sched_Pay+Scheduled_Extra_Payments&lt;Beg_Bal),Scheduled_Extra_Payments,IF(AND(Pay_Num&lt;&gt;"",Beg_Bal-Sched_Pay&gt;0),Beg_Bal-Sched_Pay,IF(Pay_Num&lt;&gt;"",0,"")))</f>
        <v>0</v>
      </c>
      <c r="F425" s="70">
        <f>IF(AND(Pay_Num&lt;&gt;"",Sched_Pay+Extra_Pay&lt;Beg_Bal),Sched_Pay+Extra_Pay,IF(Pay_Num&lt;&gt;"",Beg_Bal,""))</f>
        <v>0</v>
      </c>
      <c r="G425" s="70">
        <f>IF(Pay_Num&lt;&gt;"",Total_Pay-Int,"")</f>
        <v>0</v>
      </c>
      <c r="H425" s="70">
        <f>IF(Pay_Num&lt;&gt;"",Beg_Bal*Interest_Rate/Num_Pmt_Per_Year,"")</f>
        <v>0</v>
      </c>
      <c r="I425" s="70">
        <f>IF(AND(Pay_Num&lt;&gt;"",Sched_Pay+Extra_Pay&lt;Beg_Bal),Beg_Bal-Princ,IF(Pay_Num&lt;&gt;"",0,""))</f>
        <v>0</v>
      </c>
      <c r="J425" s="70">
        <f>SUM($H$18:$H425)</f>
        <v>431201.75350020552</v>
      </c>
    </row>
    <row r="426" spans="1:10" x14ac:dyDescent="0.3">
      <c r="A426" s="36">
        <f>IF(Values_Entered,A425+1,"")</f>
        <v>409</v>
      </c>
      <c r="B426" s="35">
        <f>IF(Pay_Num&lt;&gt;"",DATE(YEAR(Loan_Start),MONTH(Loan_Start)+(Pay_Num)*12/Num_Pmt_Per_Year,DAY(Loan_Start)),"")</f>
        <v>83532</v>
      </c>
      <c r="C426" s="70">
        <f>IF(Pay_Num&lt;&gt;"",I425,"")</f>
        <v>0</v>
      </c>
      <c r="D426" s="70">
        <f>IF(Pay_Num&lt;&gt;"",Scheduled_Monthly_Payment,"")</f>
        <v>71560.087675010276</v>
      </c>
      <c r="E426" s="71">
        <f>IF(AND(Pay_Num&lt;&gt;"",Sched_Pay+Scheduled_Extra_Payments&lt;Beg_Bal),Scheduled_Extra_Payments,IF(AND(Pay_Num&lt;&gt;"",Beg_Bal-Sched_Pay&gt;0),Beg_Bal-Sched_Pay,IF(Pay_Num&lt;&gt;"",0,"")))</f>
        <v>0</v>
      </c>
      <c r="F426" s="70">
        <f>IF(AND(Pay_Num&lt;&gt;"",Sched_Pay+Extra_Pay&lt;Beg_Bal),Sched_Pay+Extra_Pay,IF(Pay_Num&lt;&gt;"",Beg_Bal,""))</f>
        <v>0</v>
      </c>
      <c r="G426" s="70">
        <f>IF(Pay_Num&lt;&gt;"",Total_Pay-Int,"")</f>
        <v>0</v>
      </c>
      <c r="H426" s="70">
        <f>IF(Pay_Num&lt;&gt;"",Beg_Bal*Interest_Rate/Num_Pmt_Per_Year,"")</f>
        <v>0</v>
      </c>
      <c r="I426" s="70">
        <f>IF(AND(Pay_Num&lt;&gt;"",Sched_Pay+Extra_Pay&lt;Beg_Bal),Beg_Bal-Princ,IF(Pay_Num&lt;&gt;"",0,""))</f>
        <v>0</v>
      </c>
      <c r="J426" s="70">
        <f>SUM($H$18:$H426)</f>
        <v>431201.75350020552</v>
      </c>
    </row>
    <row r="427" spans="1:10" x14ac:dyDescent="0.3">
      <c r="A427" s="36">
        <f>IF(Values_Entered,A426+1,"")</f>
        <v>410</v>
      </c>
      <c r="B427" s="35">
        <f>IF(Pay_Num&lt;&gt;"",DATE(YEAR(Loan_Start),MONTH(Loan_Start)+(Pay_Num)*12/Num_Pmt_Per_Year,DAY(Loan_Start)),"")</f>
        <v>83623</v>
      </c>
      <c r="C427" s="70">
        <f>IF(Pay_Num&lt;&gt;"",I426,"")</f>
        <v>0</v>
      </c>
      <c r="D427" s="70">
        <f>IF(Pay_Num&lt;&gt;"",Scheduled_Monthly_Payment,"")</f>
        <v>71560.087675010276</v>
      </c>
      <c r="E427" s="71">
        <f>IF(AND(Pay_Num&lt;&gt;"",Sched_Pay+Scheduled_Extra_Payments&lt;Beg_Bal),Scheduled_Extra_Payments,IF(AND(Pay_Num&lt;&gt;"",Beg_Bal-Sched_Pay&gt;0),Beg_Bal-Sched_Pay,IF(Pay_Num&lt;&gt;"",0,"")))</f>
        <v>0</v>
      </c>
      <c r="F427" s="70">
        <f>IF(AND(Pay_Num&lt;&gt;"",Sched_Pay+Extra_Pay&lt;Beg_Bal),Sched_Pay+Extra_Pay,IF(Pay_Num&lt;&gt;"",Beg_Bal,""))</f>
        <v>0</v>
      </c>
      <c r="G427" s="70">
        <f>IF(Pay_Num&lt;&gt;"",Total_Pay-Int,"")</f>
        <v>0</v>
      </c>
      <c r="H427" s="70">
        <f>IF(Pay_Num&lt;&gt;"",Beg_Bal*Interest_Rate/Num_Pmt_Per_Year,"")</f>
        <v>0</v>
      </c>
      <c r="I427" s="70">
        <f>IF(AND(Pay_Num&lt;&gt;"",Sched_Pay+Extra_Pay&lt;Beg_Bal),Beg_Bal-Princ,IF(Pay_Num&lt;&gt;"",0,""))</f>
        <v>0</v>
      </c>
      <c r="J427" s="70">
        <f>SUM($H$18:$H427)</f>
        <v>431201.75350020552</v>
      </c>
    </row>
    <row r="428" spans="1:10" x14ac:dyDescent="0.3">
      <c r="A428" s="36">
        <f>IF(Values_Entered,A427+1,"")</f>
        <v>411</v>
      </c>
      <c r="B428" s="35">
        <f>IF(Pay_Num&lt;&gt;"",DATE(YEAR(Loan_Start),MONTH(Loan_Start)+(Pay_Num)*12/Num_Pmt_Per_Year,DAY(Loan_Start)),"")</f>
        <v>83713</v>
      </c>
      <c r="C428" s="70">
        <f>IF(Pay_Num&lt;&gt;"",I427,"")</f>
        <v>0</v>
      </c>
      <c r="D428" s="70">
        <f>IF(Pay_Num&lt;&gt;"",Scheduled_Monthly_Payment,"")</f>
        <v>71560.087675010276</v>
      </c>
      <c r="E428" s="71">
        <f>IF(AND(Pay_Num&lt;&gt;"",Sched_Pay+Scheduled_Extra_Payments&lt;Beg_Bal),Scheduled_Extra_Payments,IF(AND(Pay_Num&lt;&gt;"",Beg_Bal-Sched_Pay&gt;0),Beg_Bal-Sched_Pay,IF(Pay_Num&lt;&gt;"",0,"")))</f>
        <v>0</v>
      </c>
      <c r="F428" s="70">
        <f>IF(AND(Pay_Num&lt;&gt;"",Sched_Pay+Extra_Pay&lt;Beg_Bal),Sched_Pay+Extra_Pay,IF(Pay_Num&lt;&gt;"",Beg_Bal,""))</f>
        <v>0</v>
      </c>
      <c r="G428" s="70">
        <f>IF(Pay_Num&lt;&gt;"",Total_Pay-Int,"")</f>
        <v>0</v>
      </c>
      <c r="H428" s="70">
        <f>IF(Pay_Num&lt;&gt;"",Beg_Bal*Interest_Rate/Num_Pmt_Per_Year,"")</f>
        <v>0</v>
      </c>
      <c r="I428" s="70">
        <f>IF(AND(Pay_Num&lt;&gt;"",Sched_Pay+Extra_Pay&lt;Beg_Bal),Beg_Bal-Princ,IF(Pay_Num&lt;&gt;"",0,""))</f>
        <v>0</v>
      </c>
      <c r="J428" s="70">
        <f>SUM($H$18:$H428)</f>
        <v>431201.75350020552</v>
      </c>
    </row>
    <row r="429" spans="1:10" x14ac:dyDescent="0.3">
      <c r="A429" s="36">
        <f>IF(Values_Entered,A428+1,"")</f>
        <v>412</v>
      </c>
      <c r="B429" s="35">
        <f>IF(Pay_Num&lt;&gt;"",DATE(YEAR(Loan_Start),MONTH(Loan_Start)+(Pay_Num)*12/Num_Pmt_Per_Year,DAY(Loan_Start)),"")</f>
        <v>83805</v>
      </c>
      <c r="C429" s="70">
        <f>IF(Pay_Num&lt;&gt;"",I428,"")</f>
        <v>0</v>
      </c>
      <c r="D429" s="70">
        <f>IF(Pay_Num&lt;&gt;"",Scheduled_Monthly_Payment,"")</f>
        <v>71560.087675010276</v>
      </c>
      <c r="E429" s="71">
        <f>IF(AND(Pay_Num&lt;&gt;"",Sched_Pay+Scheduled_Extra_Payments&lt;Beg_Bal),Scheduled_Extra_Payments,IF(AND(Pay_Num&lt;&gt;"",Beg_Bal-Sched_Pay&gt;0),Beg_Bal-Sched_Pay,IF(Pay_Num&lt;&gt;"",0,"")))</f>
        <v>0</v>
      </c>
      <c r="F429" s="70">
        <f>IF(AND(Pay_Num&lt;&gt;"",Sched_Pay+Extra_Pay&lt;Beg_Bal),Sched_Pay+Extra_Pay,IF(Pay_Num&lt;&gt;"",Beg_Bal,""))</f>
        <v>0</v>
      </c>
      <c r="G429" s="70">
        <f>IF(Pay_Num&lt;&gt;"",Total_Pay-Int,"")</f>
        <v>0</v>
      </c>
      <c r="H429" s="70">
        <f>IF(Pay_Num&lt;&gt;"",Beg_Bal*Interest_Rate/Num_Pmt_Per_Year,"")</f>
        <v>0</v>
      </c>
      <c r="I429" s="70">
        <f>IF(AND(Pay_Num&lt;&gt;"",Sched_Pay+Extra_Pay&lt;Beg_Bal),Beg_Bal-Princ,IF(Pay_Num&lt;&gt;"",0,""))</f>
        <v>0</v>
      </c>
      <c r="J429" s="70">
        <f>SUM($H$18:$H429)</f>
        <v>431201.75350020552</v>
      </c>
    </row>
    <row r="430" spans="1:10" x14ac:dyDescent="0.3">
      <c r="A430" s="36">
        <f>IF(Values_Entered,A429+1,"")</f>
        <v>413</v>
      </c>
      <c r="B430" s="35">
        <f>IF(Pay_Num&lt;&gt;"",DATE(YEAR(Loan_Start),MONTH(Loan_Start)+(Pay_Num)*12/Num_Pmt_Per_Year,DAY(Loan_Start)),"")</f>
        <v>83897</v>
      </c>
      <c r="C430" s="70">
        <f>IF(Pay_Num&lt;&gt;"",I429,"")</f>
        <v>0</v>
      </c>
      <c r="D430" s="70">
        <f>IF(Pay_Num&lt;&gt;"",Scheduled_Monthly_Payment,"")</f>
        <v>71560.087675010276</v>
      </c>
      <c r="E430" s="71">
        <f>IF(AND(Pay_Num&lt;&gt;"",Sched_Pay+Scheduled_Extra_Payments&lt;Beg_Bal),Scheduled_Extra_Payments,IF(AND(Pay_Num&lt;&gt;"",Beg_Bal-Sched_Pay&gt;0),Beg_Bal-Sched_Pay,IF(Pay_Num&lt;&gt;"",0,"")))</f>
        <v>0</v>
      </c>
      <c r="F430" s="70">
        <f>IF(AND(Pay_Num&lt;&gt;"",Sched_Pay+Extra_Pay&lt;Beg_Bal),Sched_Pay+Extra_Pay,IF(Pay_Num&lt;&gt;"",Beg_Bal,""))</f>
        <v>0</v>
      </c>
      <c r="G430" s="70">
        <f>IF(Pay_Num&lt;&gt;"",Total_Pay-Int,"")</f>
        <v>0</v>
      </c>
      <c r="H430" s="70">
        <f>IF(Pay_Num&lt;&gt;"",Beg_Bal*Interest_Rate/Num_Pmt_Per_Year,"")</f>
        <v>0</v>
      </c>
      <c r="I430" s="70">
        <f>IF(AND(Pay_Num&lt;&gt;"",Sched_Pay+Extra_Pay&lt;Beg_Bal),Beg_Bal-Princ,IF(Pay_Num&lt;&gt;"",0,""))</f>
        <v>0</v>
      </c>
      <c r="J430" s="70">
        <f>SUM($H$18:$H430)</f>
        <v>431201.75350020552</v>
      </c>
    </row>
    <row r="431" spans="1:10" x14ac:dyDescent="0.3">
      <c r="A431" s="36">
        <f>IF(Values_Entered,A430+1,"")</f>
        <v>414</v>
      </c>
      <c r="B431" s="35">
        <f>IF(Pay_Num&lt;&gt;"",DATE(YEAR(Loan_Start),MONTH(Loan_Start)+(Pay_Num)*12/Num_Pmt_Per_Year,DAY(Loan_Start)),"")</f>
        <v>83988</v>
      </c>
      <c r="C431" s="70">
        <f>IF(Pay_Num&lt;&gt;"",I430,"")</f>
        <v>0</v>
      </c>
      <c r="D431" s="70">
        <f>IF(Pay_Num&lt;&gt;"",Scheduled_Monthly_Payment,"")</f>
        <v>71560.087675010276</v>
      </c>
      <c r="E431" s="71">
        <f>IF(AND(Pay_Num&lt;&gt;"",Sched_Pay+Scheduled_Extra_Payments&lt;Beg_Bal),Scheduled_Extra_Payments,IF(AND(Pay_Num&lt;&gt;"",Beg_Bal-Sched_Pay&gt;0),Beg_Bal-Sched_Pay,IF(Pay_Num&lt;&gt;"",0,"")))</f>
        <v>0</v>
      </c>
      <c r="F431" s="70">
        <f>IF(AND(Pay_Num&lt;&gt;"",Sched_Pay+Extra_Pay&lt;Beg_Bal),Sched_Pay+Extra_Pay,IF(Pay_Num&lt;&gt;"",Beg_Bal,""))</f>
        <v>0</v>
      </c>
      <c r="G431" s="70">
        <f>IF(Pay_Num&lt;&gt;"",Total_Pay-Int,"")</f>
        <v>0</v>
      </c>
      <c r="H431" s="70">
        <f>IF(Pay_Num&lt;&gt;"",Beg_Bal*Interest_Rate/Num_Pmt_Per_Year,"")</f>
        <v>0</v>
      </c>
      <c r="I431" s="70">
        <f>IF(AND(Pay_Num&lt;&gt;"",Sched_Pay+Extra_Pay&lt;Beg_Bal),Beg_Bal-Princ,IF(Pay_Num&lt;&gt;"",0,""))</f>
        <v>0</v>
      </c>
      <c r="J431" s="70">
        <f>SUM($H$18:$H431)</f>
        <v>431201.75350020552</v>
      </c>
    </row>
    <row r="432" spans="1:10" x14ac:dyDescent="0.3">
      <c r="A432" s="36">
        <f>IF(Values_Entered,A431+1,"")</f>
        <v>415</v>
      </c>
      <c r="B432" s="35">
        <f>IF(Pay_Num&lt;&gt;"",DATE(YEAR(Loan_Start),MONTH(Loan_Start)+(Pay_Num)*12/Num_Pmt_Per_Year,DAY(Loan_Start)),"")</f>
        <v>84078</v>
      </c>
      <c r="C432" s="70">
        <f>IF(Pay_Num&lt;&gt;"",I431,"")</f>
        <v>0</v>
      </c>
      <c r="D432" s="70">
        <f>IF(Pay_Num&lt;&gt;"",Scheduled_Monthly_Payment,"")</f>
        <v>71560.087675010276</v>
      </c>
      <c r="E432" s="71">
        <f>IF(AND(Pay_Num&lt;&gt;"",Sched_Pay+Scheduled_Extra_Payments&lt;Beg_Bal),Scheduled_Extra_Payments,IF(AND(Pay_Num&lt;&gt;"",Beg_Bal-Sched_Pay&gt;0),Beg_Bal-Sched_Pay,IF(Pay_Num&lt;&gt;"",0,"")))</f>
        <v>0</v>
      </c>
      <c r="F432" s="70">
        <f>IF(AND(Pay_Num&lt;&gt;"",Sched_Pay+Extra_Pay&lt;Beg_Bal),Sched_Pay+Extra_Pay,IF(Pay_Num&lt;&gt;"",Beg_Bal,""))</f>
        <v>0</v>
      </c>
      <c r="G432" s="70">
        <f>IF(Pay_Num&lt;&gt;"",Total_Pay-Int,"")</f>
        <v>0</v>
      </c>
      <c r="H432" s="70">
        <f>IF(Pay_Num&lt;&gt;"",Beg_Bal*Interest_Rate/Num_Pmt_Per_Year,"")</f>
        <v>0</v>
      </c>
      <c r="I432" s="70">
        <f>IF(AND(Pay_Num&lt;&gt;"",Sched_Pay+Extra_Pay&lt;Beg_Bal),Beg_Bal-Princ,IF(Pay_Num&lt;&gt;"",0,""))</f>
        <v>0</v>
      </c>
      <c r="J432" s="70">
        <f>SUM($H$18:$H432)</f>
        <v>431201.75350020552</v>
      </c>
    </row>
    <row r="433" spans="1:10" x14ac:dyDescent="0.3">
      <c r="A433" s="36">
        <f>IF(Values_Entered,A432+1,"")</f>
        <v>416</v>
      </c>
      <c r="B433" s="35">
        <f>IF(Pay_Num&lt;&gt;"",DATE(YEAR(Loan_Start),MONTH(Loan_Start)+(Pay_Num)*12/Num_Pmt_Per_Year,DAY(Loan_Start)),"")</f>
        <v>84170</v>
      </c>
      <c r="C433" s="70">
        <f>IF(Pay_Num&lt;&gt;"",I432,"")</f>
        <v>0</v>
      </c>
      <c r="D433" s="70">
        <f>IF(Pay_Num&lt;&gt;"",Scheduled_Monthly_Payment,"")</f>
        <v>71560.087675010276</v>
      </c>
      <c r="E433" s="71">
        <f>IF(AND(Pay_Num&lt;&gt;"",Sched_Pay+Scheduled_Extra_Payments&lt;Beg_Bal),Scheduled_Extra_Payments,IF(AND(Pay_Num&lt;&gt;"",Beg_Bal-Sched_Pay&gt;0),Beg_Bal-Sched_Pay,IF(Pay_Num&lt;&gt;"",0,"")))</f>
        <v>0</v>
      </c>
      <c r="F433" s="70">
        <f>IF(AND(Pay_Num&lt;&gt;"",Sched_Pay+Extra_Pay&lt;Beg_Bal),Sched_Pay+Extra_Pay,IF(Pay_Num&lt;&gt;"",Beg_Bal,""))</f>
        <v>0</v>
      </c>
      <c r="G433" s="70">
        <f>IF(Pay_Num&lt;&gt;"",Total_Pay-Int,"")</f>
        <v>0</v>
      </c>
      <c r="H433" s="70">
        <f>IF(Pay_Num&lt;&gt;"",Beg_Bal*Interest_Rate/Num_Pmt_Per_Year,"")</f>
        <v>0</v>
      </c>
      <c r="I433" s="70">
        <f>IF(AND(Pay_Num&lt;&gt;"",Sched_Pay+Extra_Pay&lt;Beg_Bal),Beg_Bal-Princ,IF(Pay_Num&lt;&gt;"",0,""))</f>
        <v>0</v>
      </c>
      <c r="J433" s="70">
        <f>SUM($H$18:$H433)</f>
        <v>431201.75350020552</v>
      </c>
    </row>
    <row r="434" spans="1:10" x14ac:dyDescent="0.3">
      <c r="A434" s="36">
        <f>IF(Values_Entered,A433+1,"")</f>
        <v>417</v>
      </c>
      <c r="B434" s="35">
        <f>IF(Pay_Num&lt;&gt;"",DATE(YEAR(Loan_Start),MONTH(Loan_Start)+(Pay_Num)*12/Num_Pmt_Per_Year,DAY(Loan_Start)),"")</f>
        <v>84262</v>
      </c>
      <c r="C434" s="70">
        <f>IF(Pay_Num&lt;&gt;"",I433,"")</f>
        <v>0</v>
      </c>
      <c r="D434" s="70">
        <f>IF(Pay_Num&lt;&gt;"",Scheduled_Monthly_Payment,"")</f>
        <v>71560.087675010276</v>
      </c>
      <c r="E434" s="71">
        <f>IF(AND(Pay_Num&lt;&gt;"",Sched_Pay+Scheduled_Extra_Payments&lt;Beg_Bal),Scheduled_Extra_Payments,IF(AND(Pay_Num&lt;&gt;"",Beg_Bal-Sched_Pay&gt;0),Beg_Bal-Sched_Pay,IF(Pay_Num&lt;&gt;"",0,"")))</f>
        <v>0</v>
      </c>
      <c r="F434" s="70">
        <f>IF(AND(Pay_Num&lt;&gt;"",Sched_Pay+Extra_Pay&lt;Beg_Bal),Sched_Pay+Extra_Pay,IF(Pay_Num&lt;&gt;"",Beg_Bal,""))</f>
        <v>0</v>
      </c>
      <c r="G434" s="70">
        <f>IF(Pay_Num&lt;&gt;"",Total_Pay-Int,"")</f>
        <v>0</v>
      </c>
      <c r="H434" s="70">
        <f>IF(Pay_Num&lt;&gt;"",Beg_Bal*Interest_Rate/Num_Pmt_Per_Year,"")</f>
        <v>0</v>
      </c>
      <c r="I434" s="70">
        <f>IF(AND(Pay_Num&lt;&gt;"",Sched_Pay+Extra_Pay&lt;Beg_Bal),Beg_Bal-Princ,IF(Pay_Num&lt;&gt;"",0,""))</f>
        <v>0</v>
      </c>
      <c r="J434" s="70">
        <f>SUM($H$18:$H434)</f>
        <v>431201.75350020552</v>
      </c>
    </row>
    <row r="435" spans="1:10" x14ac:dyDescent="0.3">
      <c r="A435" s="36">
        <f>IF(Values_Entered,A434+1,"")</f>
        <v>418</v>
      </c>
      <c r="B435" s="35">
        <f>IF(Pay_Num&lt;&gt;"",DATE(YEAR(Loan_Start),MONTH(Loan_Start)+(Pay_Num)*12/Num_Pmt_Per_Year,DAY(Loan_Start)),"")</f>
        <v>84353</v>
      </c>
      <c r="C435" s="70">
        <f>IF(Pay_Num&lt;&gt;"",I434,"")</f>
        <v>0</v>
      </c>
      <c r="D435" s="70">
        <f>IF(Pay_Num&lt;&gt;"",Scheduled_Monthly_Payment,"")</f>
        <v>71560.087675010276</v>
      </c>
      <c r="E435" s="71">
        <f>IF(AND(Pay_Num&lt;&gt;"",Sched_Pay+Scheduled_Extra_Payments&lt;Beg_Bal),Scheduled_Extra_Payments,IF(AND(Pay_Num&lt;&gt;"",Beg_Bal-Sched_Pay&gt;0),Beg_Bal-Sched_Pay,IF(Pay_Num&lt;&gt;"",0,"")))</f>
        <v>0</v>
      </c>
      <c r="F435" s="70">
        <f>IF(AND(Pay_Num&lt;&gt;"",Sched_Pay+Extra_Pay&lt;Beg_Bal),Sched_Pay+Extra_Pay,IF(Pay_Num&lt;&gt;"",Beg_Bal,""))</f>
        <v>0</v>
      </c>
      <c r="G435" s="70">
        <f>IF(Pay_Num&lt;&gt;"",Total_Pay-Int,"")</f>
        <v>0</v>
      </c>
      <c r="H435" s="70">
        <f>IF(Pay_Num&lt;&gt;"",Beg_Bal*Interest_Rate/Num_Pmt_Per_Year,"")</f>
        <v>0</v>
      </c>
      <c r="I435" s="70">
        <f>IF(AND(Pay_Num&lt;&gt;"",Sched_Pay+Extra_Pay&lt;Beg_Bal),Beg_Bal-Princ,IF(Pay_Num&lt;&gt;"",0,""))</f>
        <v>0</v>
      </c>
      <c r="J435" s="70">
        <f>SUM($H$18:$H435)</f>
        <v>431201.75350020552</v>
      </c>
    </row>
    <row r="436" spans="1:10" x14ac:dyDescent="0.3">
      <c r="A436" s="36">
        <f>IF(Values_Entered,A435+1,"")</f>
        <v>419</v>
      </c>
      <c r="B436" s="35">
        <f>IF(Pay_Num&lt;&gt;"",DATE(YEAR(Loan_Start),MONTH(Loan_Start)+(Pay_Num)*12/Num_Pmt_Per_Year,DAY(Loan_Start)),"")</f>
        <v>84443</v>
      </c>
      <c r="C436" s="70">
        <f>IF(Pay_Num&lt;&gt;"",I435,"")</f>
        <v>0</v>
      </c>
      <c r="D436" s="70">
        <f>IF(Pay_Num&lt;&gt;"",Scheduled_Monthly_Payment,"")</f>
        <v>71560.087675010276</v>
      </c>
      <c r="E436" s="71">
        <f>IF(AND(Pay_Num&lt;&gt;"",Sched_Pay+Scheduled_Extra_Payments&lt;Beg_Bal),Scheduled_Extra_Payments,IF(AND(Pay_Num&lt;&gt;"",Beg_Bal-Sched_Pay&gt;0),Beg_Bal-Sched_Pay,IF(Pay_Num&lt;&gt;"",0,"")))</f>
        <v>0</v>
      </c>
      <c r="F436" s="70">
        <f>IF(AND(Pay_Num&lt;&gt;"",Sched_Pay+Extra_Pay&lt;Beg_Bal),Sched_Pay+Extra_Pay,IF(Pay_Num&lt;&gt;"",Beg_Bal,""))</f>
        <v>0</v>
      </c>
      <c r="G436" s="70">
        <f>IF(Pay_Num&lt;&gt;"",Total_Pay-Int,"")</f>
        <v>0</v>
      </c>
      <c r="H436" s="70">
        <f>IF(Pay_Num&lt;&gt;"",Beg_Bal*Interest_Rate/Num_Pmt_Per_Year,"")</f>
        <v>0</v>
      </c>
      <c r="I436" s="70">
        <f>IF(AND(Pay_Num&lt;&gt;"",Sched_Pay+Extra_Pay&lt;Beg_Bal),Beg_Bal-Princ,IF(Pay_Num&lt;&gt;"",0,""))</f>
        <v>0</v>
      </c>
      <c r="J436" s="70">
        <f>SUM($H$18:$H436)</f>
        <v>431201.75350020552</v>
      </c>
    </row>
    <row r="437" spans="1:10" x14ac:dyDescent="0.3">
      <c r="A437" s="36">
        <f>IF(Values_Entered,A436+1,"")</f>
        <v>420</v>
      </c>
      <c r="B437" s="35">
        <f>IF(Pay_Num&lt;&gt;"",DATE(YEAR(Loan_Start),MONTH(Loan_Start)+(Pay_Num)*12/Num_Pmt_Per_Year,DAY(Loan_Start)),"")</f>
        <v>84535</v>
      </c>
      <c r="C437" s="70">
        <f>IF(Pay_Num&lt;&gt;"",I436,"")</f>
        <v>0</v>
      </c>
      <c r="D437" s="70">
        <f>IF(Pay_Num&lt;&gt;"",Scheduled_Monthly_Payment,"")</f>
        <v>71560.087675010276</v>
      </c>
      <c r="E437" s="71">
        <f>IF(AND(Pay_Num&lt;&gt;"",Sched_Pay+Scheduled_Extra_Payments&lt;Beg_Bal),Scheduled_Extra_Payments,IF(AND(Pay_Num&lt;&gt;"",Beg_Bal-Sched_Pay&gt;0),Beg_Bal-Sched_Pay,IF(Pay_Num&lt;&gt;"",0,"")))</f>
        <v>0</v>
      </c>
      <c r="F437" s="70">
        <f>IF(AND(Pay_Num&lt;&gt;"",Sched_Pay+Extra_Pay&lt;Beg_Bal),Sched_Pay+Extra_Pay,IF(Pay_Num&lt;&gt;"",Beg_Bal,""))</f>
        <v>0</v>
      </c>
      <c r="G437" s="70">
        <f>IF(Pay_Num&lt;&gt;"",Total_Pay-Int,"")</f>
        <v>0</v>
      </c>
      <c r="H437" s="70">
        <f>IF(Pay_Num&lt;&gt;"",Beg_Bal*Interest_Rate/Num_Pmt_Per_Year,"")</f>
        <v>0</v>
      </c>
      <c r="I437" s="70">
        <f>IF(AND(Pay_Num&lt;&gt;"",Sched_Pay+Extra_Pay&lt;Beg_Bal),Beg_Bal-Princ,IF(Pay_Num&lt;&gt;"",0,""))</f>
        <v>0</v>
      </c>
      <c r="J437" s="70">
        <f>SUM($H$18:$H437)</f>
        <v>431201.75350020552</v>
      </c>
    </row>
    <row r="438" spans="1:10" x14ac:dyDescent="0.3">
      <c r="A438" s="36">
        <f>IF(Values_Entered,A437+1,"")</f>
        <v>421</v>
      </c>
      <c r="B438" s="35">
        <f>IF(Pay_Num&lt;&gt;"",DATE(YEAR(Loan_Start),MONTH(Loan_Start)+(Pay_Num)*12/Num_Pmt_Per_Year,DAY(Loan_Start)),"")</f>
        <v>84627</v>
      </c>
      <c r="C438" s="70">
        <f>IF(Pay_Num&lt;&gt;"",I437,"")</f>
        <v>0</v>
      </c>
      <c r="D438" s="70">
        <f>IF(Pay_Num&lt;&gt;"",Scheduled_Monthly_Payment,"")</f>
        <v>71560.087675010276</v>
      </c>
      <c r="E438" s="71">
        <f>IF(AND(Pay_Num&lt;&gt;"",Sched_Pay+Scheduled_Extra_Payments&lt;Beg_Bal),Scheduled_Extra_Payments,IF(AND(Pay_Num&lt;&gt;"",Beg_Bal-Sched_Pay&gt;0),Beg_Bal-Sched_Pay,IF(Pay_Num&lt;&gt;"",0,"")))</f>
        <v>0</v>
      </c>
      <c r="F438" s="70">
        <f>IF(AND(Pay_Num&lt;&gt;"",Sched_Pay+Extra_Pay&lt;Beg_Bal),Sched_Pay+Extra_Pay,IF(Pay_Num&lt;&gt;"",Beg_Bal,""))</f>
        <v>0</v>
      </c>
      <c r="G438" s="70">
        <f>IF(Pay_Num&lt;&gt;"",Total_Pay-Int,"")</f>
        <v>0</v>
      </c>
      <c r="H438" s="70">
        <f>IF(Pay_Num&lt;&gt;"",Beg_Bal*Interest_Rate/Num_Pmt_Per_Year,"")</f>
        <v>0</v>
      </c>
      <c r="I438" s="70">
        <f>IF(AND(Pay_Num&lt;&gt;"",Sched_Pay+Extra_Pay&lt;Beg_Bal),Beg_Bal-Princ,IF(Pay_Num&lt;&gt;"",0,""))</f>
        <v>0</v>
      </c>
      <c r="J438" s="70">
        <f>SUM($H$18:$H438)</f>
        <v>431201.75350020552</v>
      </c>
    </row>
    <row r="439" spans="1:10" x14ac:dyDescent="0.3">
      <c r="A439" s="36">
        <f>IF(Values_Entered,A438+1,"")</f>
        <v>422</v>
      </c>
      <c r="B439" s="35">
        <f>IF(Pay_Num&lt;&gt;"",DATE(YEAR(Loan_Start),MONTH(Loan_Start)+(Pay_Num)*12/Num_Pmt_Per_Year,DAY(Loan_Start)),"")</f>
        <v>84718</v>
      </c>
      <c r="C439" s="70">
        <f>IF(Pay_Num&lt;&gt;"",I438,"")</f>
        <v>0</v>
      </c>
      <c r="D439" s="70">
        <f>IF(Pay_Num&lt;&gt;"",Scheduled_Monthly_Payment,"")</f>
        <v>71560.087675010276</v>
      </c>
      <c r="E439" s="71">
        <f>IF(AND(Pay_Num&lt;&gt;"",Sched_Pay+Scheduled_Extra_Payments&lt;Beg_Bal),Scheduled_Extra_Payments,IF(AND(Pay_Num&lt;&gt;"",Beg_Bal-Sched_Pay&gt;0),Beg_Bal-Sched_Pay,IF(Pay_Num&lt;&gt;"",0,"")))</f>
        <v>0</v>
      </c>
      <c r="F439" s="70">
        <f>IF(AND(Pay_Num&lt;&gt;"",Sched_Pay+Extra_Pay&lt;Beg_Bal),Sched_Pay+Extra_Pay,IF(Pay_Num&lt;&gt;"",Beg_Bal,""))</f>
        <v>0</v>
      </c>
      <c r="G439" s="70">
        <f>IF(Pay_Num&lt;&gt;"",Total_Pay-Int,"")</f>
        <v>0</v>
      </c>
      <c r="H439" s="70">
        <f>IF(Pay_Num&lt;&gt;"",Beg_Bal*Interest_Rate/Num_Pmt_Per_Year,"")</f>
        <v>0</v>
      </c>
      <c r="I439" s="70">
        <f>IF(AND(Pay_Num&lt;&gt;"",Sched_Pay+Extra_Pay&lt;Beg_Bal),Beg_Bal-Princ,IF(Pay_Num&lt;&gt;"",0,""))</f>
        <v>0</v>
      </c>
      <c r="J439" s="70">
        <f>SUM($H$18:$H439)</f>
        <v>431201.75350020552</v>
      </c>
    </row>
    <row r="440" spans="1:10" x14ac:dyDescent="0.3">
      <c r="A440" s="36">
        <f>IF(Values_Entered,A439+1,"")</f>
        <v>423</v>
      </c>
      <c r="B440" s="35">
        <f>IF(Pay_Num&lt;&gt;"",DATE(YEAR(Loan_Start),MONTH(Loan_Start)+(Pay_Num)*12/Num_Pmt_Per_Year,DAY(Loan_Start)),"")</f>
        <v>84809</v>
      </c>
      <c r="C440" s="70">
        <f>IF(Pay_Num&lt;&gt;"",I439,"")</f>
        <v>0</v>
      </c>
      <c r="D440" s="70">
        <f>IF(Pay_Num&lt;&gt;"",Scheduled_Monthly_Payment,"")</f>
        <v>71560.087675010276</v>
      </c>
      <c r="E440" s="71">
        <f>IF(AND(Pay_Num&lt;&gt;"",Sched_Pay+Scheduled_Extra_Payments&lt;Beg_Bal),Scheduled_Extra_Payments,IF(AND(Pay_Num&lt;&gt;"",Beg_Bal-Sched_Pay&gt;0),Beg_Bal-Sched_Pay,IF(Pay_Num&lt;&gt;"",0,"")))</f>
        <v>0</v>
      </c>
      <c r="F440" s="70">
        <f>IF(AND(Pay_Num&lt;&gt;"",Sched_Pay+Extra_Pay&lt;Beg_Bal),Sched_Pay+Extra_Pay,IF(Pay_Num&lt;&gt;"",Beg_Bal,""))</f>
        <v>0</v>
      </c>
      <c r="G440" s="70">
        <f>IF(Pay_Num&lt;&gt;"",Total_Pay-Int,"")</f>
        <v>0</v>
      </c>
      <c r="H440" s="70">
        <f>IF(Pay_Num&lt;&gt;"",Beg_Bal*Interest_Rate/Num_Pmt_Per_Year,"")</f>
        <v>0</v>
      </c>
      <c r="I440" s="70">
        <f>IF(AND(Pay_Num&lt;&gt;"",Sched_Pay+Extra_Pay&lt;Beg_Bal),Beg_Bal-Princ,IF(Pay_Num&lt;&gt;"",0,""))</f>
        <v>0</v>
      </c>
      <c r="J440" s="70">
        <f>SUM($H$18:$H440)</f>
        <v>431201.75350020552</v>
      </c>
    </row>
    <row r="441" spans="1:10" x14ac:dyDescent="0.3">
      <c r="A441" s="36">
        <f>IF(Values_Entered,A440+1,"")</f>
        <v>424</v>
      </c>
      <c r="B441" s="35">
        <f>IF(Pay_Num&lt;&gt;"",DATE(YEAR(Loan_Start),MONTH(Loan_Start)+(Pay_Num)*12/Num_Pmt_Per_Year,DAY(Loan_Start)),"")</f>
        <v>84901</v>
      </c>
      <c r="C441" s="70">
        <f>IF(Pay_Num&lt;&gt;"",I440,"")</f>
        <v>0</v>
      </c>
      <c r="D441" s="70">
        <f>IF(Pay_Num&lt;&gt;"",Scheduled_Monthly_Payment,"")</f>
        <v>71560.087675010276</v>
      </c>
      <c r="E441" s="71">
        <f>IF(AND(Pay_Num&lt;&gt;"",Sched_Pay+Scheduled_Extra_Payments&lt;Beg_Bal),Scheduled_Extra_Payments,IF(AND(Pay_Num&lt;&gt;"",Beg_Bal-Sched_Pay&gt;0),Beg_Bal-Sched_Pay,IF(Pay_Num&lt;&gt;"",0,"")))</f>
        <v>0</v>
      </c>
      <c r="F441" s="70">
        <f>IF(AND(Pay_Num&lt;&gt;"",Sched_Pay+Extra_Pay&lt;Beg_Bal),Sched_Pay+Extra_Pay,IF(Pay_Num&lt;&gt;"",Beg_Bal,""))</f>
        <v>0</v>
      </c>
      <c r="G441" s="70">
        <f>IF(Pay_Num&lt;&gt;"",Total_Pay-Int,"")</f>
        <v>0</v>
      </c>
      <c r="H441" s="70">
        <f>IF(Pay_Num&lt;&gt;"",Beg_Bal*Interest_Rate/Num_Pmt_Per_Year,"")</f>
        <v>0</v>
      </c>
      <c r="I441" s="70">
        <f>IF(AND(Pay_Num&lt;&gt;"",Sched_Pay+Extra_Pay&lt;Beg_Bal),Beg_Bal-Princ,IF(Pay_Num&lt;&gt;"",0,""))</f>
        <v>0</v>
      </c>
      <c r="J441" s="70">
        <f>SUM($H$18:$H441)</f>
        <v>431201.75350020552</v>
      </c>
    </row>
    <row r="442" spans="1:10" x14ac:dyDescent="0.3">
      <c r="A442" s="36">
        <f>IF(Values_Entered,A441+1,"")</f>
        <v>425</v>
      </c>
      <c r="B442" s="35">
        <f>IF(Pay_Num&lt;&gt;"",DATE(YEAR(Loan_Start),MONTH(Loan_Start)+(Pay_Num)*12/Num_Pmt_Per_Year,DAY(Loan_Start)),"")</f>
        <v>84993</v>
      </c>
      <c r="C442" s="70">
        <f>IF(Pay_Num&lt;&gt;"",I441,"")</f>
        <v>0</v>
      </c>
      <c r="D442" s="70">
        <f>IF(Pay_Num&lt;&gt;"",Scheduled_Monthly_Payment,"")</f>
        <v>71560.087675010276</v>
      </c>
      <c r="E442" s="71">
        <f>IF(AND(Pay_Num&lt;&gt;"",Sched_Pay+Scheduled_Extra_Payments&lt;Beg_Bal),Scheduled_Extra_Payments,IF(AND(Pay_Num&lt;&gt;"",Beg_Bal-Sched_Pay&gt;0),Beg_Bal-Sched_Pay,IF(Pay_Num&lt;&gt;"",0,"")))</f>
        <v>0</v>
      </c>
      <c r="F442" s="70">
        <f>IF(AND(Pay_Num&lt;&gt;"",Sched_Pay+Extra_Pay&lt;Beg_Bal),Sched_Pay+Extra_Pay,IF(Pay_Num&lt;&gt;"",Beg_Bal,""))</f>
        <v>0</v>
      </c>
      <c r="G442" s="70">
        <f>IF(Pay_Num&lt;&gt;"",Total_Pay-Int,"")</f>
        <v>0</v>
      </c>
      <c r="H442" s="70">
        <f>IF(Pay_Num&lt;&gt;"",Beg_Bal*Interest_Rate/Num_Pmt_Per_Year,"")</f>
        <v>0</v>
      </c>
      <c r="I442" s="70">
        <f>IF(AND(Pay_Num&lt;&gt;"",Sched_Pay+Extra_Pay&lt;Beg_Bal),Beg_Bal-Princ,IF(Pay_Num&lt;&gt;"",0,""))</f>
        <v>0</v>
      </c>
      <c r="J442" s="70">
        <f>SUM($H$18:$H442)</f>
        <v>431201.75350020552</v>
      </c>
    </row>
    <row r="443" spans="1:10" x14ac:dyDescent="0.3">
      <c r="A443" s="36">
        <f>IF(Values_Entered,A442+1,"")</f>
        <v>426</v>
      </c>
      <c r="B443" s="35">
        <f>IF(Pay_Num&lt;&gt;"",DATE(YEAR(Loan_Start),MONTH(Loan_Start)+(Pay_Num)*12/Num_Pmt_Per_Year,DAY(Loan_Start)),"")</f>
        <v>85084</v>
      </c>
      <c r="C443" s="70">
        <f>IF(Pay_Num&lt;&gt;"",I442,"")</f>
        <v>0</v>
      </c>
      <c r="D443" s="70">
        <f>IF(Pay_Num&lt;&gt;"",Scheduled_Monthly_Payment,"")</f>
        <v>71560.087675010276</v>
      </c>
      <c r="E443" s="71">
        <f>IF(AND(Pay_Num&lt;&gt;"",Sched_Pay+Scheduled_Extra_Payments&lt;Beg_Bal),Scheduled_Extra_Payments,IF(AND(Pay_Num&lt;&gt;"",Beg_Bal-Sched_Pay&gt;0),Beg_Bal-Sched_Pay,IF(Pay_Num&lt;&gt;"",0,"")))</f>
        <v>0</v>
      </c>
      <c r="F443" s="70">
        <f>IF(AND(Pay_Num&lt;&gt;"",Sched_Pay+Extra_Pay&lt;Beg_Bal),Sched_Pay+Extra_Pay,IF(Pay_Num&lt;&gt;"",Beg_Bal,""))</f>
        <v>0</v>
      </c>
      <c r="G443" s="70">
        <f>IF(Pay_Num&lt;&gt;"",Total_Pay-Int,"")</f>
        <v>0</v>
      </c>
      <c r="H443" s="70">
        <f>IF(Pay_Num&lt;&gt;"",Beg_Bal*Interest_Rate/Num_Pmt_Per_Year,"")</f>
        <v>0</v>
      </c>
      <c r="I443" s="70">
        <f>IF(AND(Pay_Num&lt;&gt;"",Sched_Pay+Extra_Pay&lt;Beg_Bal),Beg_Bal-Princ,IF(Pay_Num&lt;&gt;"",0,""))</f>
        <v>0</v>
      </c>
      <c r="J443" s="70">
        <f>SUM($H$18:$H443)</f>
        <v>431201.75350020552</v>
      </c>
    </row>
    <row r="444" spans="1:10" x14ac:dyDescent="0.3">
      <c r="A444" s="36">
        <f>IF(Values_Entered,A443+1,"")</f>
        <v>427</v>
      </c>
      <c r="B444" s="35">
        <f>IF(Pay_Num&lt;&gt;"",DATE(YEAR(Loan_Start),MONTH(Loan_Start)+(Pay_Num)*12/Num_Pmt_Per_Year,DAY(Loan_Start)),"")</f>
        <v>85174</v>
      </c>
      <c r="C444" s="70">
        <f>IF(Pay_Num&lt;&gt;"",I443,"")</f>
        <v>0</v>
      </c>
      <c r="D444" s="70">
        <f>IF(Pay_Num&lt;&gt;"",Scheduled_Monthly_Payment,"")</f>
        <v>71560.087675010276</v>
      </c>
      <c r="E444" s="71">
        <f>IF(AND(Pay_Num&lt;&gt;"",Sched_Pay+Scheduled_Extra_Payments&lt;Beg_Bal),Scheduled_Extra_Payments,IF(AND(Pay_Num&lt;&gt;"",Beg_Bal-Sched_Pay&gt;0),Beg_Bal-Sched_Pay,IF(Pay_Num&lt;&gt;"",0,"")))</f>
        <v>0</v>
      </c>
      <c r="F444" s="70">
        <f>IF(AND(Pay_Num&lt;&gt;"",Sched_Pay+Extra_Pay&lt;Beg_Bal),Sched_Pay+Extra_Pay,IF(Pay_Num&lt;&gt;"",Beg_Bal,""))</f>
        <v>0</v>
      </c>
      <c r="G444" s="70">
        <f>IF(Pay_Num&lt;&gt;"",Total_Pay-Int,"")</f>
        <v>0</v>
      </c>
      <c r="H444" s="70">
        <f>IF(Pay_Num&lt;&gt;"",Beg_Bal*Interest_Rate/Num_Pmt_Per_Year,"")</f>
        <v>0</v>
      </c>
      <c r="I444" s="70">
        <f>IF(AND(Pay_Num&lt;&gt;"",Sched_Pay+Extra_Pay&lt;Beg_Bal),Beg_Bal-Princ,IF(Pay_Num&lt;&gt;"",0,""))</f>
        <v>0</v>
      </c>
      <c r="J444" s="70">
        <f>SUM($H$18:$H444)</f>
        <v>431201.75350020552</v>
      </c>
    </row>
    <row r="445" spans="1:10" x14ac:dyDescent="0.3">
      <c r="A445" s="36">
        <f>IF(Values_Entered,A444+1,"")</f>
        <v>428</v>
      </c>
      <c r="B445" s="35">
        <f>IF(Pay_Num&lt;&gt;"",DATE(YEAR(Loan_Start),MONTH(Loan_Start)+(Pay_Num)*12/Num_Pmt_Per_Year,DAY(Loan_Start)),"")</f>
        <v>85266</v>
      </c>
      <c r="C445" s="70">
        <f>IF(Pay_Num&lt;&gt;"",I444,"")</f>
        <v>0</v>
      </c>
      <c r="D445" s="70">
        <f>IF(Pay_Num&lt;&gt;"",Scheduled_Monthly_Payment,"")</f>
        <v>71560.087675010276</v>
      </c>
      <c r="E445" s="71">
        <f>IF(AND(Pay_Num&lt;&gt;"",Sched_Pay+Scheduled_Extra_Payments&lt;Beg_Bal),Scheduled_Extra_Payments,IF(AND(Pay_Num&lt;&gt;"",Beg_Bal-Sched_Pay&gt;0),Beg_Bal-Sched_Pay,IF(Pay_Num&lt;&gt;"",0,"")))</f>
        <v>0</v>
      </c>
      <c r="F445" s="70">
        <f>IF(AND(Pay_Num&lt;&gt;"",Sched_Pay+Extra_Pay&lt;Beg_Bal),Sched_Pay+Extra_Pay,IF(Pay_Num&lt;&gt;"",Beg_Bal,""))</f>
        <v>0</v>
      </c>
      <c r="G445" s="70">
        <f>IF(Pay_Num&lt;&gt;"",Total_Pay-Int,"")</f>
        <v>0</v>
      </c>
      <c r="H445" s="70">
        <f>IF(Pay_Num&lt;&gt;"",Beg_Bal*Interest_Rate/Num_Pmt_Per_Year,"")</f>
        <v>0</v>
      </c>
      <c r="I445" s="70">
        <f>IF(AND(Pay_Num&lt;&gt;"",Sched_Pay+Extra_Pay&lt;Beg_Bal),Beg_Bal-Princ,IF(Pay_Num&lt;&gt;"",0,""))</f>
        <v>0</v>
      </c>
      <c r="J445" s="70">
        <f>SUM($H$18:$H445)</f>
        <v>431201.75350020552</v>
      </c>
    </row>
    <row r="446" spans="1:10" x14ac:dyDescent="0.3">
      <c r="A446" s="36">
        <f>IF(Values_Entered,A445+1,"")</f>
        <v>429</v>
      </c>
      <c r="B446" s="35">
        <f>IF(Pay_Num&lt;&gt;"",DATE(YEAR(Loan_Start),MONTH(Loan_Start)+(Pay_Num)*12/Num_Pmt_Per_Year,DAY(Loan_Start)),"")</f>
        <v>85358</v>
      </c>
      <c r="C446" s="70">
        <f>IF(Pay_Num&lt;&gt;"",I445,"")</f>
        <v>0</v>
      </c>
      <c r="D446" s="70">
        <f>IF(Pay_Num&lt;&gt;"",Scheduled_Monthly_Payment,"")</f>
        <v>71560.087675010276</v>
      </c>
      <c r="E446" s="71">
        <f>IF(AND(Pay_Num&lt;&gt;"",Sched_Pay+Scheduled_Extra_Payments&lt;Beg_Bal),Scheduled_Extra_Payments,IF(AND(Pay_Num&lt;&gt;"",Beg_Bal-Sched_Pay&gt;0),Beg_Bal-Sched_Pay,IF(Pay_Num&lt;&gt;"",0,"")))</f>
        <v>0</v>
      </c>
      <c r="F446" s="70">
        <f>IF(AND(Pay_Num&lt;&gt;"",Sched_Pay+Extra_Pay&lt;Beg_Bal),Sched_Pay+Extra_Pay,IF(Pay_Num&lt;&gt;"",Beg_Bal,""))</f>
        <v>0</v>
      </c>
      <c r="G446" s="70">
        <f>IF(Pay_Num&lt;&gt;"",Total_Pay-Int,"")</f>
        <v>0</v>
      </c>
      <c r="H446" s="70">
        <f>IF(Pay_Num&lt;&gt;"",Beg_Bal*Interest_Rate/Num_Pmt_Per_Year,"")</f>
        <v>0</v>
      </c>
      <c r="I446" s="70">
        <f>IF(AND(Pay_Num&lt;&gt;"",Sched_Pay+Extra_Pay&lt;Beg_Bal),Beg_Bal-Princ,IF(Pay_Num&lt;&gt;"",0,""))</f>
        <v>0</v>
      </c>
      <c r="J446" s="70">
        <f>SUM($H$18:$H446)</f>
        <v>431201.75350020552</v>
      </c>
    </row>
    <row r="447" spans="1:10" x14ac:dyDescent="0.3">
      <c r="A447" s="36">
        <f>IF(Values_Entered,A446+1,"")</f>
        <v>430</v>
      </c>
      <c r="B447" s="35">
        <f>IF(Pay_Num&lt;&gt;"",DATE(YEAR(Loan_Start),MONTH(Loan_Start)+(Pay_Num)*12/Num_Pmt_Per_Year,DAY(Loan_Start)),"")</f>
        <v>85449</v>
      </c>
      <c r="C447" s="70">
        <f>IF(Pay_Num&lt;&gt;"",I446,"")</f>
        <v>0</v>
      </c>
      <c r="D447" s="70">
        <f>IF(Pay_Num&lt;&gt;"",Scheduled_Monthly_Payment,"")</f>
        <v>71560.087675010276</v>
      </c>
      <c r="E447" s="71">
        <f>IF(AND(Pay_Num&lt;&gt;"",Sched_Pay+Scheduled_Extra_Payments&lt;Beg_Bal),Scheduled_Extra_Payments,IF(AND(Pay_Num&lt;&gt;"",Beg_Bal-Sched_Pay&gt;0),Beg_Bal-Sched_Pay,IF(Pay_Num&lt;&gt;"",0,"")))</f>
        <v>0</v>
      </c>
      <c r="F447" s="70">
        <f>IF(AND(Pay_Num&lt;&gt;"",Sched_Pay+Extra_Pay&lt;Beg_Bal),Sched_Pay+Extra_Pay,IF(Pay_Num&lt;&gt;"",Beg_Bal,""))</f>
        <v>0</v>
      </c>
      <c r="G447" s="70">
        <f>IF(Pay_Num&lt;&gt;"",Total_Pay-Int,"")</f>
        <v>0</v>
      </c>
      <c r="H447" s="70">
        <f>IF(Pay_Num&lt;&gt;"",Beg_Bal*Interest_Rate/Num_Pmt_Per_Year,"")</f>
        <v>0</v>
      </c>
      <c r="I447" s="70">
        <f>IF(AND(Pay_Num&lt;&gt;"",Sched_Pay+Extra_Pay&lt;Beg_Bal),Beg_Bal-Princ,IF(Pay_Num&lt;&gt;"",0,""))</f>
        <v>0</v>
      </c>
      <c r="J447" s="70">
        <f>SUM($H$18:$H447)</f>
        <v>431201.75350020552</v>
      </c>
    </row>
    <row r="448" spans="1:10" x14ac:dyDescent="0.3">
      <c r="A448" s="36">
        <f>IF(Values_Entered,A447+1,"")</f>
        <v>431</v>
      </c>
      <c r="B448" s="35">
        <f>IF(Pay_Num&lt;&gt;"",DATE(YEAR(Loan_Start),MONTH(Loan_Start)+(Pay_Num)*12/Num_Pmt_Per_Year,DAY(Loan_Start)),"")</f>
        <v>85539</v>
      </c>
      <c r="C448" s="70">
        <f>IF(Pay_Num&lt;&gt;"",I447,"")</f>
        <v>0</v>
      </c>
      <c r="D448" s="70">
        <f>IF(Pay_Num&lt;&gt;"",Scheduled_Monthly_Payment,"")</f>
        <v>71560.087675010276</v>
      </c>
      <c r="E448" s="71">
        <f>IF(AND(Pay_Num&lt;&gt;"",Sched_Pay+Scheduled_Extra_Payments&lt;Beg_Bal),Scheduled_Extra_Payments,IF(AND(Pay_Num&lt;&gt;"",Beg_Bal-Sched_Pay&gt;0),Beg_Bal-Sched_Pay,IF(Pay_Num&lt;&gt;"",0,"")))</f>
        <v>0</v>
      </c>
      <c r="F448" s="70">
        <f>IF(AND(Pay_Num&lt;&gt;"",Sched_Pay+Extra_Pay&lt;Beg_Bal),Sched_Pay+Extra_Pay,IF(Pay_Num&lt;&gt;"",Beg_Bal,""))</f>
        <v>0</v>
      </c>
      <c r="G448" s="70">
        <f>IF(Pay_Num&lt;&gt;"",Total_Pay-Int,"")</f>
        <v>0</v>
      </c>
      <c r="H448" s="70">
        <f>IF(Pay_Num&lt;&gt;"",Beg_Bal*Interest_Rate/Num_Pmt_Per_Year,"")</f>
        <v>0</v>
      </c>
      <c r="I448" s="70">
        <f>IF(AND(Pay_Num&lt;&gt;"",Sched_Pay+Extra_Pay&lt;Beg_Bal),Beg_Bal-Princ,IF(Pay_Num&lt;&gt;"",0,""))</f>
        <v>0</v>
      </c>
      <c r="J448" s="70">
        <f>SUM($H$18:$H448)</f>
        <v>431201.75350020552</v>
      </c>
    </row>
    <row r="449" spans="1:10" x14ac:dyDescent="0.3">
      <c r="A449" s="36">
        <f>IF(Values_Entered,A448+1,"")</f>
        <v>432</v>
      </c>
      <c r="B449" s="35">
        <f>IF(Pay_Num&lt;&gt;"",DATE(YEAR(Loan_Start),MONTH(Loan_Start)+(Pay_Num)*12/Num_Pmt_Per_Year,DAY(Loan_Start)),"")</f>
        <v>85631</v>
      </c>
      <c r="C449" s="70">
        <f>IF(Pay_Num&lt;&gt;"",I448,"")</f>
        <v>0</v>
      </c>
      <c r="D449" s="70">
        <f>IF(Pay_Num&lt;&gt;"",Scheduled_Monthly_Payment,"")</f>
        <v>71560.087675010276</v>
      </c>
      <c r="E449" s="71">
        <f>IF(AND(Pay_Num&lt;&gt;"",Sched_Pay+Scheduled_Extra_Payments&lt;Beg_Bal),Scheduled_Extra_Payments,IF(AND(Pay_Num&lt;&gt;"",Beg_Bal-Sched_Pay&gt;0),Beg_Bal-Sched_Pay,IF(Pay_Num&lt;&gt;"",0,"")))</f>
        <v>0</v>
      </c>
      <c r="F449" s="70">
        <f>IF(AND(Pay_Num&lt;&gt;"",Sched_Pay+Extra_Pay&lt;Beg_Bal),Sched_Pay+Extra_Pay,IF(Pay_Num&lt;&gt;"",Beg_Bal,""))</f>
        <v>0</v>
      </c>
      <c r="G449" s="70">
        <f>IF(Pay_Num&lt;&gt;"",Total_Pay-Int,"")</f>
        <v>0</v>
      </c>
      <c r="H449" s="70">
        <f>IF(Pay_Num&lt;&gt;"",Beg_Bal*Interest_Rate/Num_Pmt_Per_Year,"")</f>
        <v>0</v>
      </c>
      <c r="I449" s="70">
        <f>IF(AND(Pay_Num&lt;&gt;"",Sched_Pay+Extra_Pay&lt;Beg_Bal),Beg_Bal-Princ,IF(Pay_Num&lt;&gt;"",0,""))</f>
        <v>0</v>
      </c>
      <c r="J449" s="70">
        <f>SUM($H$18:$H449)</f>
        <v>431201.75350020552</v>
      </c>
    </row>
    <row r="450" spans="1:10" x14ac:dyDescent="0.3">
      <c r="A450" s="36">
        <f>IF(Values_Entered,A449+1,"")</f>
        <v>433</v>
      </c>
      <c r="B450" s="35">
        <f>IF(Pay_Num&lt;&gt;"",DATE(YEAR(Loan_Start),MONTH(Loan_Start)+(Pay_Num)*12/Num_Pmt_Per_Year,DAY(Loan_Start)),"")</f>
        <v>85723</v>
      </c>
      <c r="C450" s="70">
        <f>IF(Pay_Num&lt;&gt;"",I449,"")</f>
        <v>0</v>
      </c>
      <c r="D450" s="70">
        <f>IF(Pay_Num&lt;&gt;"",Scheduled_Monthly_Payment,"")</f>
        <v>71560.087675010276</v>
      </c>
      <c r="E450" s="71">
        <f>IF(AND(Pay_Num&lt;&gt;"",Sched_Pay+Scheduled_Extra_Payments&lt;Beg_Bal),Scheduled_Extra_Payments,IF(AND(Pay_Num&lt;&gt;"",Beg_Bal-Sched_Pay&gt;0),Beg_Bal-Sched_Pay,IF(Pay_Num&lt;&gt;"",0,"")))</f>
        <v>0</v>
      </c>
      <c r="F450" s="70">
        <f>IF(AND(Pay_Num&lt;&gt;"",Sched_Pay+Extra_Pay&lt;Beg_Bal),Sched_Pay+Extra_Pay,IF(Pay_Num&lt;&gt;"",Beg_Bal,""))</f>
        <v>0</v>
      </c>
      <c r="G450" s="70">
        <f>IF(Pay_Num&lt;&gt;"",Total_Pay-Int,"")</f>
        <v>0</v>
      </c>
      <c r="H450" s="70">
        <f>IF(Pay_Num&lt;&gt;"",Beg_Bal*Interest_Rate/Num_Pmt_Per_Year,"")</f>
        <v>0</v>
      </c>
      <c r="I450" s="70">
        <f>IF(AND(Pay_Num&lt;&gt;"",Sched_Pay+Extra_Pay&lt;Beg_Bal),Beg_Bal-Princ,IF(Pay_Num&lt;&gt;"",0,""))</f>
        <v>0</v>
      </c>
      <c r="J450" s="70">
        <f>SUM($H$18:$H450)</f>
        <v>431201.75350020552</v>
      </c>
    </row>
    <row r="451" spans="1:10" x14ac:dyDescent="0.3">
      <c r="A451" s="36">
        <f>IF(Values_Entered,A450+1,"")</f>
        <v>434</v>
      </c>
      <c r="B451" s="35">
        <f>IF(Pay_Num&lt;&gt;"",DATE(YEAR(Loan_Start),MONTH(Loan_Start)+(Pay_Num)*12/Num_Pmt_Per_Year,DAY(Loan_Start)),"")</f>
        <v>85814</v>
      </c>
      <c r="C451" s="70">
        <f>IF(Pay_Num&lt;&gt;"",I450,"")</f>
        <v>0</v>
      </c>
      <c r="D451" s="70">
        <f>IF(Pay_Num&lt;&gt;"",Scheduled_Monthly_Payment,"")</f>
        <v>71560.087675010276</v>
      </c>
      <c r="E451" s="71">
        <f>IF(AND(Pay_Num&lt;&gt;"",Sched_Pay+Scheduled_Extra_Payments&lt;Beg_Bal),Scheduled_Extra_Payments,IF(AND(Pay_Num&lt;&gt;"",Beg_Bal-Sched_Pay&gt;0),Beg_Bal-Sched_Pay,IF(Pay_Num&lt;&gt;"",0,"")))</f>
        <v>0</v>
      </c>
      <c r="F451" s="70">
        <f>IF(AND(Pay_Num&lt;&gt;"",Sched_Pay+Extra_Pay&lt;Beg_Bal),Sched_Pay+Extra_Pay,IF(Pay_Num&lt;&gt;"",Beg_Bal,""))</f>
        <v>0</v>
      </c>
      <c r="G451" s="70">
        <f>IF(Pay_Num&lt;&gt;"",Total_Pay-Int,"")</f>
        <v>0</v>
      </c>
      <c r="H451" s="70">
        <f>IF(Pay_Num&lt;&gt;"",Beg_Bal*Interest_Rate/Num_Pmt_Per_Year,"")</f>
        <v>0</v>
      </c>
      <c r="I451" s="70">
        <f>IF(AND(Pay_Num&lt;&gt;"",Sched_Pay+Extra_Pay&lt;Beg_Bal),Beg_Bal-Princ,IF(Pay_Num&lt;&gt;"",0,""))</f>
        <v>0</v>
      </c>
      <c r="J451" s="70">
        <f>SUM($H$18:$H451)</f>
        <v>431201.75350020552</v>
      </c>
    </row>
    <row r="452" spans="1:10" x14ac:dyDescent="0.3">
      <c r="A452" s="36">
        <f>IF(Values_Entered,A451+1,"")</f>
        <v>435</v>
      </c>
      <c r="B452" s="35">
        <f>IF(Pay_Num&lt;&gt;"",DATE(YEAR(Loan_Start),MONTH(Loan_Start)+(Pay_Num)*12/Num_Pmt_Per_Year,DAY(Loan_Start)),"")</f>
        <v>85904</v>
      </c>
      <c r="C452" s="70">
        <f>IF(Pay_Num&lt;&gt;"",I451,"")</f>
        <v>0</v>
      </c>
      <c r="D452" s="70">
        <f>IF(Pay_Num&lt;&gt;"",Scheduled_Monthly_Payment,"")</f>
        <v>71560.087675010276</v>
      </c>
      <c r="E452" s="71">
        <f>IF(AND(Pay_Num&lt;&gt;"",Sched_Pay+Scheduled_Extra_Payments&lt;Beg_Bal),Scheduled_Extra_Payments,IF(AND(Pay_Num&lt;&gt;"",Beg_Bal-Sched_Pay&gt;0),Beg_Bal-Sched_Pay,IF(Pay_Num&lt;&gt;"",0,"")))</f>
        <v>0</v>
      </c>
      <c r="F452" s="70">
        <f>IF(AND(Pay_Num&lt;&gt;"",Sched_Pay+Extra_Pay&lt;Beg_Bal),Sched_Pay+Extra_Pay,IF(Pay_Num&lt;&gt;"",Beg_Bal,""))</f>
        <v>0</v>
      </c>
      <c r="G452" s="70">
        <f>IF(Pay_Num&lt;&gt;"",Total_Pay-Int,"")</f>
        <v>0</v>
      </c>
      <c r="H452" s="70">
        <f>IF(Pay_Num&lt;&gt;"",Beg_Bal*Interest_Rate/Num_Pmt_Per_Year,"")</f>
        <v>0</v>
      </c>
      <c r="I452" s="70">
        <f>IF(AND(Pay_Num&lt;&gt;"",Sched_Pay+Extra_Pay&lt;Beg_Bal),Beg_Bal-Princ,IF(Pay_Num&lt;&gt;"",0,""))</f>
        <v>0</v>
      </c>
      <c r="J452" s="70">
        <f>SUM($H$18:$H452)</f>
        <v>431201.75350020552</v>
      </c>
    </row>
    <row r="453" spans="1:10" x14ac:dyDescent="0.3">
      <c r="A453" s="36">
        <f>IF(Values_Entered,A452+1,"")</f>
        <v>436</v>
      </c>
      <c r="B453" s="35">
        <f>IF(Pay_Num&lt;&gt;"",DATE(YEAR(Loan_Start),MONTH(Loan_Start)+(Pay_Num)*12/Num_Pmt_Per_Year,DAY(Loan_Start)),"")</f>
        <v>85996</v>
      </c>
      <c r="C453" s="70">
        <f>IF(Pay_Num&lt;&gt;"",I452,"")</f>
        <v>0</v>
      </c>
      <c r="D453" s="70">
        <f>IF(Pay_Num&lt;&gt;"",Scheduled_Monthly_Payment,"")</f>
        <v>71560.087675010276</v>
      </c>
      <c r="E453" s="71">
        <f>IF(AND(Pay_Num&lt;&gt;"",Sched_Pay+Scheduled_Extra_Payments&lt;Beg_Bal),Scheduled_Extra_Payments,IF(AND(Pay_Num&lt;&gt;"",Beg_Bal-Sched_Pay&gt;0),Beg_Bal-Sched_Pay,IF(Pay_Num&lt;&gt;"",0,"")))</f>
        <v>0</v>
      </c>
      <c r="F453" s="70">
        <f>IF(AND(Pay_Num&lt;&gt;"",Sched_Pay+Extra_Pay&lt;Beg_Bal),Sched_Pay+Extra_Pay,IF(Pay_Num&lt;&gt;"",Beg_Bal,""))</f>
        <v>0</v>
      </c>
      <c r="G453" s="70">
        <f>IF(Pay_Num&lt;&gt;"",Total_Pay-Int,"")</f>
        <v>0</v>
      </c>
      <c r="H453" s="70">
        <f>IF(Pay_Num&lt;&gt;"",Beg_Bal*Interest_Rate/Num_Pmt_Per_Year,"")</f>
        <v>0</v>
      </c>
      <c r="I453" s="70">
        <f>IF(AND(Pay_Num&lt;&gt;"",Sched_Pay+Extra_Pay&lt;Beg_Bal),Beg_Bal-Princ,IF(Pay_Num&lt;&gt;"",0,""))</f>
        <v>0</v>
      </c>
      <c r="J453" s="70">
        <f>SUM($H$18:$H453)</f>
        <v>431201.75350020552</v>
      </c>
    </row>
    <row r="454" spans="1:10" x14ac:dyDescent="0.3">
      <c r="A454" s="36">
        <f>IF(Values_Entered,A453+1,"")</f>
        <v>437</v>
      </c>
      <c r="B454" s="35">
        <f>IF(Pay_Num&lt;&gt;"",DATE(YEAR(Loan_Start),MONTH(Loan_Start)+(Pay_Num)*12/Num_Pmt_Per_Year,DAY(Loan_Start)),"")</f>
        <v>86088</v>
      </c>
      <c r="C454" s="70">
        <f>IF(Pay_Num&lt;&gt;"",I453,"")</f>
        <v>0</v>
      </c>
      <c r="D454" s="70">
        <f>IF(Pay_Num&lt;&gt;"",Scheduled_Monthly_Payment,"")</f>
        <v>71560.087675010276</v>
      </c>
      <c r="E454" s="71">
        <f>IF(AND(Pay_Num&lt;&gt;"",Sched_Pay+Scheduled_Extra_Payments&lt;Beg_Bal),Scheduled_Extra_Payments,IF(AND(Pay_Num&lt;&gt;"",Beg_Bal-Sched_Pay&gt;0),Beg_Bal-Sched_Pay,IF(Pay_Num&lt;&gt;"",0,"")))</f>
        <v>0</v>
      </c>
      <c r="F454" s="70">
        <f>IF(AND(Pay_Num&lt;&gt;"",Sched_Pay+Extra_Pay&lt;Beg_Bal),Sched_Pay+Extra_Pay,IF(Pay_Num&lt;&gt;"",Beg_Bal,""))</f>
        <v>0</v>
      </c>
      <c r="G454" s="70">
        <f>IF(Pay_Num&lt;&gt;"",Total_Pay-Int,"")</f>
        <v>0</v>
      </c>
      <c r="H454" s="70">
        <f>IF(Pay_Num&lt;&gt;"",Beg_Bal*Interest_Rate/Num_Pmt_Per_Year,"")</f>
        <v>0</v>
      </c>
      <c r="I454" s="70">
        <f>IF(AND(Pay_Num&lt;&gt;"",Sched_Pay+Extra_Pay&lt;Beg_Bal),Beg_Bal-Princ,IF(Pay_Num&lt;&gt;"",0,""))</f>
        <v>0</v>
      </c>
      <c r="J454" s="70">
        <f>SUM($H$18:$H454)</f>
        <v>431201.75350020552</v>
      </c>
    </row>
    <row r="455" spans="1:10" x14ac:dyDescent="0.3">
      <c r="A455" s="36">
        <f>IF(Values_Entered,A454+1,"")</f>
        <v>438</v>
      </c>
      <c r="B455" s="35">
        <f>IF(Pay_Num&lt;&gt;"",DATE(YEAR(Loan_Start),MONTH(Loan_Start)+(Pay_Num)*12/Num_Pmt_Per_Year,DAY(Loan_Start)),"")</f>
        <v>86179</v>
      </c>
      <c r="C455" s="70">
        <f>IF(Pay_Num&lt;&gt;"",I454,"")</f>
        <v>0</v>
      </c>
      <c r="D455" s="70">
        <f>IF(Pay_Num&lt;&gt;"",Scheduled_Monthly_Payment,"")</f>
        <v>71560.087675010276</v>
      </c>
      <c r="E455" s="71">
        <f>IF(AND(Pay_Num&lt;&gt;"",Sched_Pay+Scheduled_Extra_Payments&lt;Beg_Bal),Scheduled_Extra_Payments,IF(AND(Pay_Num&lt;&gt;"",Beg_Bal-Sched_Pay&gt;0),Beg_Bal-Sched_Pay,IF(Pay_Num&lt;&gt;"",0,"")))</f>
        <v>0</v>
      </c>
      <c r="F455" s="70">
        <f>IF(AND(Pay_Num&lt;&gt;"",Sched_Pay+Extra_Pay&lt;Beg_Bal),Sched_Pay+Extra_Pay,IF(Pay_Num&lt;&gt;"",Beg_Bal,""))</f>
        <v>0</v>
      </c>
      <c r="G455" s="70">
        <f>IF(Pay_Num&lt;&gt;"",Total_Pay-Int,"")</f>
        <v>0</v>
      </c>
      <c r="H455" s="70">
        <f>IF(Pay_Num&lt;&gt;"",Beg_Bal*Interest_Rate/Num_Pmt_Per_Year,"")</f>
        <v>0</v>
      </c>
      <c r="I455" s="70">
        <f>IF(AND(Pay_Num&lt;&gt;"",Sched_Pay+Extra_Pay&lt;Beg_Bal),Beg_Bal-Princ,IF(Pay_Num&lt;&gt;"",0,""))</f>
        <v>0</v>
      </c>
      <c r="J455" s="70">
        <f>SUM($H$18:$H455)</f>
        <v>431201.75350020552</v>
      </c>
    </row>
    <row r="456" spans="1:10" x14ac:dyDescent="0.3">
      <c r="A456" s="36">
        <f>IF(Values_Entered,A455+1,"")</f>
        <v>439</v>
      </c>
      <c r="B456" s="35">
        <f>IF(Pay_Num&lt;&gt;"",DATE(YEAR(Loan_Start),MONTH(Loan_Start)+(Pay_Num)*12/Num_Pmt_Per_Year,DAY(Loan_Start)),"")</f>
        <v>86270</v>
      </c>
      <c r="C456" s="70">
        <f>IF(Pay_Num&lt;&gt;"",I455,"")</f>
        <v>0</v>
      </c>
      <c r="D456" s="70">
        <f>IF(Pay_Num&lt;&gt;"",Scheduled_Monthly_Payment,"")</f>
        <v>71560.087675010276</v>
      </c>
      <c r="E456" s="71">
        <f>IF(AND(Pay_Num&lt;&gt;"",Sched_Pay+Scheduled_Extra_Payments&lt;Beg_Bal),Scheduled_Extra_Payments,IF(AND(Pay_Num&lt;&gt;"",Beg_Bal-Sched_Pay&gt;0),Beg_Bal-Sched_Pay,IF(Pay_Num&lt;&gt;"",0,"")))</f>
        <v>0</v>
      </c>
      <c r="F456" s="70">
        <f>IF(AND(Pay_Num&lt;&gt;"",Sched_Pay+Extra_Pay&lt;Beg_Bal),Sched_Pay+Extra_Pay,IF(Pay_Num&lt;&gt;"",Beg_Bal,""))</f>
        <v>0</v>
      </c>
      <c r="G456" s="70">
        <f>IF(Pay_Num&lt;&gt;"",Total_Pay-Int,"")</f>
        <v>0</v>
      </c>
      <c r="H456" s="70">
        <f>IF(Pay_Num&lt;&gt;"",Beg_Bal*Interest_Rate/Num_Pmt_Per_Year,"")</f>
        <v>0</v>
      </c>
      <c r="I456" s="70">
        <f>IF(AND(Pay_Num&lt;&gt;"",Sched_Pay+Extra_Pay&lt;Beg_Bal),Beg_Bal-Princ,IF(Pay_Num&lt;&gt;"",0,""))</f>
        <v>0</v>
      </c>
      <c r="J456" s="70">
        <f>SUM($H$18:$H456)</f>
        <v>431201.75350020552</v>
      </c>
    </row>
    <row r="457" spans="1:10" x14ac:dyDescent="0.3">
      <c r="A457" s="36">
        <f>IF(Values_Entered,A456+1,"")</f>
        <v>440</v>
      </c>
      <c r="B457" s="35">
        <f>IF(Pay_Num&lt;&gt;"",DATE(YEAR(Loan_Start),MONTH(Loan_Start)+(Pay_Num)*12/Num_Pmt_Per_Year,DAY(Loan_Start)),"")</f>
        <v>86362</v>
      </c>
      <c r="C457" s="70">
        <f>IF(Pay_Num&lt;&gt;"",I456,"")</f>
        <v>0</v>
      </c>
      <c r="D457" s="70">
        <f>IF(Pay_Num&lt;&gt;"",Scheduled_Monthly_Payment,"")</f>
        <v>71560.087675010276</v>
      </c>
      <c r="E457" s="71">
        <f>IF(AND(Pay_Num&lt;&gt;"",Sched_Pay+Scheduled_Extra_Payments&lt;Beg_Bal),Scheduled_Extra_Payments,IF(AND(Pay_Num&lt;&gt;"",Beg_Bal-Sched_Pay&gt;0),Beg_Bal-Sched_Pay,IF(Pay_Num&lt;&gt;"",0,"")))</f>
        <v>0</v>
      </c>
      <c r="F457" s="70">
        <f>IF(AND(Pay_Num&lt;&gt;"",Sched_Pay+Extra_Pay&lt;Beg_Bal),Sched_Pay+Extra_Pay,IF(Pay_Num&lt;&gt;"",Beg_Bal,""))</f>
        <v>0</v>
      </c>
      <c r="G457" s="70">
        <f>IF(Pay_Num&lt;&gt;"",Total_Pay-Int,"")</f>
        <v>0</v>
      </c>
      <c r="H457" s="70">
        <f>IF(Pay_Num&lt;&gt;"",Beg_Bal*Interest_Rate/Num_Pmt_Per_Year,"")</f>
        <v>0</v>
      </c>
      <c r="I457" s="70">
        <f>IF(AND(Pay_Num&lt;&gt;"",Sched_Pay+Extra_Pay&lt;Beg_Bal),Beg_Bal-Princ,IF(Pay_Num&lt;&gt;"",0,""))</f>
        <v>0</v>
      </c>
      <c r="J457" s="70">
        <f>SUM($H$18:$H457)</f>
        <v>431201.75350020552</v>
      </c>
    </row>
    <row r="458" spans="1:10" x14ac:dyDescent="0.3">
      <c r="A458" s="36">
        <f>IF(Values_Entered,A457+1,"")</f>
        <v>441</v>
      </c>
      <c r="B458" s="35">
        <f>IF(Pay_Num&lt;&gt;"",DATE(YEAR(Loan_Start),MONTH(Loan_Start)+(Pay_Num)*12/Num_Pmt_Per_Year,DAY(Loan_Start)),"")</f>
        <v>86454</v>
      </c>
      <c r="C458" s="70">
        <f>IF(Pay_Num&lt;&gt;"",I457,"")</f>
        <v>0</v>
      </c>
      <c r="D458" s="70">
        <f>IF(Pay_Num&lt;&gt;"",Scheduled_Monthly_Payment,"")</f>
        <v>71560.087675010276</v>
      </c>
      <c r="E458" s="71">
        <f>IF(AND(Pay_Num&lt;&gt;"",Sched_Pay+Scheduled_Extra_Payments&lt;Beg_Bal),Scheduled_Extra_Payments,IF(AND(Pay_Num&lt;&gt;"",Beg_Bal-Sched_Pay&gt;0),Beg_Bal-Sched_Pay,IF(Pay_Num&lt;&gt;"",0,"")))</f>
        <v>0</v>
      </c>
      <c r="F458" s="70">
        <f>IF(AND(Pay_Num&lt;&gt;"",Sched_Pay+Extra_Pay&lt;Beg_Bal),Sched_Pay+Extra_Pay,IF(Pay_Num&lt;&gt;"",Beg_Bal,""))</f>
        <v>0</v>
      </c>
      <c r="G458" s="70">
        <f>IF(Pay_Num&lt;&gt;"",Total_Pay-Int,"")</f>
        <v>0</v>
      </c>
      <c r="H458" s="70">
        <f>IF(Pay_Num&lt;&gt;"",Beg_Bal*Interest_Rate/Num_Pmt_Per_Year,"")</f>
        <v>0</v>
      </c>
      <c r="I458" s="70">
        <f>IF(AND(Pay_Num&lt;&gt;"",Sched_Pay+Extra_Pay&lt;Beg_Bal),Beg_Bal-Princ,IF(Pay_Num&lt;&gt;"",0,""))</f>
        <v>0</v>
      </c>
      <c r="J458" s="70">
        <f>SUM($H$18:$H458)</f>
        <v>431201.75350020552</v>
      </c>
    </row>
    <row r="459" spans="1:10" x14ac:dyDescent="0.3">
      <c r="A459" s="36">
        <f>IF(Values_Entered,A458+1,"")</f>
        <v>442</v>
      </c>
      <c r="B459" s="35">
        <f>IF(Pay_Num&lt;&gt;"",DATE(YEAR(Loan_Start),MONTH(Loan_Start)+(Pay_Num)*12/Num_Pmt_Per_Year,DAY(Loan_Start)),"")</f>
        <v>86545</v>
      </c>
      <c r="C459" s="70">
        <f>IF(Pay_Num&lt;&gt;"",I458,"")</f>
        <v>0</v>
      </c>
      <c r="D459" s="70">
        <f>IF(Pay_Num&lt;&gt;"",Scheduled_Monthly_Payment,"")</f>
        <v>71560.087675010276</v>
      </c>
      <c r="E459" s="71">
        <f>IF(AND(Pay_Num&lt;&gt;"",Sched_Pay+Scheduled_Extra_Payments&lt;Beg_Bal),Scheduled_Extra_Payments,IF(AND(Pay_Num&lt;&gt;"",Beg_Bal-Sched_Pay&gt;0),Beg_Bal-Sched_Pay,IF(Pay_Num&lt;&gt;"",0,"")))</f>
        <v>0</v>
      </c>
      <c r="F459" s="70">
        <f>IF(AND(Pay_Num&lt;&gt;"",Sched_Pay+Extra_Pay&lt;Beg_Bal),Sched_Pay+Extra_Pay,IF(Pay_Num&lt;&gt;"",Beg_Bal,""))</f>
        <v>0</v>
      </c>
      <c r="G459" s="70">
        <f>IF(Pay_Num&lt;&gt;"",Total_Pay-Int,"")</f>
        <v>0</v>
      </c>
      <c r="H459" s="70">
        <f>IF(Pay_Num&lt;&gt;"",Beg_Bal*Interest_Rate/Num_Pmt_Per_Year,"")</f>
        <v>0</v>
      </c>
      <c r="I459" s="70">
        <f>IF(AND(Pay_Num&lt;&gt;"",Sched_Pay+Extra_Pay&lt;Beg_Bal),Beg_Bal-Princ,IF(Pay_Num&lt;&gt;"",0,""))</f>
        <v>0</v>
      </c>
      <c r="J459" s="70">
        <f>SUM($H$18:$H459)</f>
        <v>431201.75350020552</v>
      </c>
    </row>
    <row r="460" spans="1:10" x14ac:dyDescent="0.3">
      <c r="A460" s="36">
        <f>IF(Values_Entered,A459+1,"")</f>
        <v>443</v>
      </c>
      <c r="B460" s="35">
        <f>IF(Pay_Num&lt;&gt;"",DATE(YEAR(Loan_Start),MONTH(Loan_Start)+(Pay_Num)*12/Num_Pmt_Per_Year,DAY(Loan_Start)),"")</f>
        <v>86635</v>
      </c>
      <c r="C460" s="70">
        <f>IF(Pay_Num&lt;&gt;"",I459,"")</f>
        <v>0</v>
      </c>
      <c r="D460" s="70">
        <f>IF(Pay_Num&lt;&gt;"",Scheduled_Monthly_Payment,"")</f>
        <v>71560.087675010276</v>
      </c>
      <c r="E460" s="71">
        <f>IF(AND(Pay_Num&lt;&gt;"",Sched_Pay+Scheduled_Extra_Payments&lt;Beg_Bal),Scheduled_Extra_Payments,IF(AND(Pay_Num&lt;&gt;"",Beg_Bal-Sched_Pay&gt;0),Beg_Bal-Sched_Pay,IF(Pay_Num&lt;&gt;"",0,"")))</f>
        <v>0</v>
      </c>
      <c r="F460" s="70">
        <f>IF(AND(Pay_Num&lt;&gt;"",Sched_Pay+Extra_Pay&lt;Beg_Bal),Sched_Pay+Extra_Pay,IF(Pay_Num&lt;&gt;"",Beg_Bal,""))</f>
        <v>0</v>
      </c>
      <c r="G460" s="70">
        <f>IF(Pay_Num&lt;&gt;"",Total_Pay-Int,"")</f>
        <v>0</v>
      </c>
      <c r="H460" s="70">
        <f>IF(Pay_Num&lt;&gt;"",Beg_Bal*Interest_Rate/Num_Pmt_Per_Year,"")</f>
        <v>0</v>
      </c>
      <c r="I460" s="70">
        <f>IF(AND(Pay_Num&lt;&gt;"",Sched_Pay+Extra_Pay&lt;Beg_Bal),Beg_Bal-Princ,IF(Pay_Num&lt;&gt;"",0,""))</f>
        <v>0</v>
      </c>
      <c r="J460" s="70">
        <f>SUM($H$18:$H460)</f>
        <v>431201.75350020552</v>
      </c>
    </row>
    <row r="461" spans="1:10" x14ac:dyDescent="0.3">
      <c r="A461" s="36">
        <f>IF(Values_Entered,A460+1,"")</f>
        <v>444</v>
      </c>
      <c r="B461" s="35">
        <f>IF(Pay_Num&lt;&gt;"",DATE(YEAR(Loan_Start),MONTH(Loan_Start)+(Pay_Num)*12/Num_Pmt_Per_Year,DAY(Loan_Start)),"")</f>
        <v>86727</v>
      </c>
      <c r="C461" s="70">
        <f>IF(Pay_Num&lt;&gt;"",I460,"")</f>
        <v>0</v>
      </c>
      <c r="D461" s="70">
        <f>IF(Pay_Num&lt;&gt;"",Scheduled_Monthly_Payment,"")</f>
        <v>71560.087675010276</v>
      </c>
      <c r="E461" s="71">
        <f>IF(AND(Pay_Num&lt;&gt;"",Sched_Pay+Scheduled_Extra_Payments&lt;Beg_Bal),Scheduled_Extra_Payments,IF(AND(Pay_Num&lt;&gt;"",Beg_Bal-Sched_Pay&gt;0),Beg_Bal-Sched_Pay,IF(Pay_Num&lt;&gt;"",0,"")))</f>
        <v>0</v>
      </c>
      <c r="F461" s="70">
        <f>IF(AND(Pay_Num&lt;&gt;"",Sched_Pay+Extra_Pay&lt;Beg_Bal),Sched_Pay+Extra_Pay,IF(Pay_Num&lt;&gt;"",Beg_Bal,""))</f>
        <v>0</v>
      </c>
      <c r="G461" s="70">
        <f>IF(Pay_Num&lt;&gt;"",Total_Pay-Int,"")</f>
        <v>0</v>
      </c>
      <c r="H461" s="70">
        <f>IF(Pay_Num&lt;&gt;"",Beg_Bal*Interest_Rate/Num_Pmt_Per_Year,"")</f>
        <v>0</v>
      </c>
      <c r="I461" s="70">
        <f>IF(AND(Pay_Num&lt;&gt;"",Sched_Pay+Extra_Pay&lt;Beg_Bal),Beg_Bal-Princ,IF(Pay_Num&lt;&gt;"",0,""))</f>
        <v>0</v>
      </c>
      <c r="J461" s="70">
        <f>SUM($H$18:$H461)</f>
        <v>431201.75350020552</v>
      </c>
    </row>
    <row r="462" spans="1:10" x14ac:dyDescent="0.3">
      <c r="A462" s="36">
        <f>IF(Values_Entered,A461+1,"")</f>
        <v>445</v>
      </c>
      <c r="B462" s="35">
        <f>IF(Pay_Num&lt;&gt;"",DATE(YEAR(Loan_Start),MONTH(Loan_Start)+(Pay_Num)*12/Num_Pmt_Per_Year,DAY(Loan_Start)),"")</f>
        <v>86819</v>
      </c>
      <c r="C462" s="70">
        <f>IF(Pay_Num&lt;&gt;"",I461,"")</f>
        <v>0</v>
      </c>
      <c r="D462" s="70">
        <f>IF(Pay_Num&lt;&gt;"",Scheduled_Monthly_Payment,"")</f>
        <v>71560.087675010276</v>
      </c>
      <c r="E462" s="71">
        <f>IF(AND(Pay_Num&lt;&gt;"",Sched_Pay+Scheduled_Extra_Payments&lt;Beg_Bal),Scheduled_Extra_Payments,IF(AND(Pay_Num&lt;&gt;"",Beg_Bal-Sched_Pay&gt;0),Beg_Bal-Sched_Pay,IF(Pay_Num&lt;&gt;"",0,"")))</f>
        <v>0</v>
      </c>
      <c r="F462" s="70">
        <f>IF(AND(Pay_Num&lt;&gt;"",Sched_Pay+Extra_Pay&lt;Beg_Bal),Sched_Pay+Extra_Pay,IF(Pay_Num&lt;&gt;"",Beg_Bal,""))</f>
        <v>0</v>
      </c>
      <c r="G462" s="70">
        <f>IF(Pay_Num&lt;&gt;"",Total_Pay-Int,"")</f>
        <v>0</v>
      </c>
      <c r="H462" s="70">
        <f>IF(Pay_Num&lt;&gt;"",Beg_Bal*Interest_Rate/Num_Pmt_Per_Year,"")</f>
        <v>0</v>
      </c>
      <c r="I462" s="70">
        <f>IF(AND(Pay_Num&lt;&gt;"",Sched_Pay+Extra_Pay&lt;Beg_Bal),Beg_Bal-Princ,IF(Pay_Num&lt;&gt;"",0,""))</f>
        <v>0</v>
      </c>
      <c r="J462" s="70">
        <f>SUM($H$18:$H462)</f>
        <v>431201.75350020552</v>
      </c>
    </row>
    <row r="463" spans="1:10" x14ac:dyDescent="0.3">
      <c r="A463" s="36">
        <f>IF(Values_Entered,A462+1,"")</f>
        <v>446</v>
      </c>
      <c r="B463" s="35">
        <f>IF(Pay_Num&lt;&gt;"",DATE(YEAR(Loan_Start),MONTH(Loan_Start)+(Pay_Num)*12/Num_Pmt_Per_Year,DAY(Loan_Start)),"")</f>
        <v>86910</v>
      </c>
      <c r="C463" s="70">
        <f>IF(Pay_Num&lt;&gt;"",I462,"")</f>
        <v>0</v>
      </c>
      <c r="D463" s="70">
        <f>IF(Pay_Num&lt;&gt;"",Scheduled_Monthly_Payment,"")</f>
        <v>71560.087675010276</v>
      </c>
      <c r="E463" s="71">
        <f>IF(AND(Pay_Num&lt;&gt;"",Sched_Pay+Scheduled_Extra_Payments&lt;Beg_Bal),Scheduled_Extra_Payments,IF(AND(Pay_Num&lt;&gt;"",Beg_Bal-Sched_Pay&gt;0),Beg_Bal-Sched_Pay,IF(Pay_Num&lt;&gt;"",0,"")))</f>
        <v>0</v>
      </c>
      <c r="F463" s="70">
        <f>IF(AND(Pay_Num&lt;&gt;"",Sched_Pay+Extra_Pay&lt;Beg_Bal),Sched_Pay+Extra_Pay,IF(Pay_Num&lt;&gt;"",Beg_Bal,""))</f>
        <v>0</v>
      </c>
      <c r="G463" s="70">
        <f>IF(Pay_Num&lt;&gt;"",Total_Pay-Int,"")</f>
        <v>0</v>
      </c>
      <c r="H463" s="70">
        <f>IF(Pay_Num&lt;&gt;"",Beg_Bal*Interest_Rate/Num_Pmt_Per_Year,"")</f>
        <v>0</v>
      </c>
      <c r="I463" s="70">
        <f>IF(AND(Pay_Num&lt;&gt;"",Sched_Pay+Extra_Pay&lt;Beg_Bal),Beg_Bal-Princ,IF(Pay_Num&lt;&gt;"",0,""))</f>
        <v>0</v>
      </c>
      <c r="J463" s="70">
        <f>SUM($H$18:$H463)</f>
        <v>431201.75350020552</v>
      </c>
    </row>
    <row r="464" spans="1:10" x14ac:dyDescent="0.3">
      <c r="A464" s="36">
        <f>IF(Values_Entered,A463+1,"")</f>
        <v>447</v>
      </c>
      <c r="B464" s="35">
        <f>IF(Pay_Num&lt;&gt;"",DATE(YEAR(Loan_Start),MONTH(Loan_Start)+(Pay_Num)*12/Num_Pmt_Per_Year,DAY(Loan_Start)),"")</f>
        <v>87000</v>
      </c>
      <c r="C464" s="70">
        <f>IF(Pay_Num&lt;&gt;"",I463,"")</f>
        <v>0</v>
      </c>
      <c r="D464" s="70">
        <f>IF(Pay_Num&lt;&gt;"",Scheduled_Monthly_Payment,"")</f>
        <v>71560.087675010276</v>
      </c>
      <c r="E464" s="71">
        <f>IF(AND(Pay_Num&lt;&gt;"",Sched_Pay+Scheduled_Extra_Payments&lt;Beg_Bal),Scheduled_Extra_Payments,IF(AND(Pay_Num&lt;&gt;"",Beg_Bal-Sched_Pay&gt;0),Beg_Bal-Sched_Pay,IF(Pay_Num&lt;&gt;"",0,"")))</f>
        <v>0</v>
      </c>
      <c r="F464" s="70">
        <f>IF(AND(Pay_Num&lt;&gt;"",Sched_Pay+Extra_Pay&lt;Beg_Bal),Sched_Pay+Extra_Pay,IF(Pay_Num&lt;&gt;"",Beg_Bal,""))</f>
        <v>0</v>
      </c>
      <c r="G464" s="70">
        <f>IF(Pay_Num&lt;&gt;"",Total_Pay-Int,"")</f>
        <v>0</v>
      </c>
      <c r="H464" s="70">
        <f>IF(Pay_Num&lt;&gt;"",Beg_Bal*Interest_Rate/Num_Pmt_Per_Year,"")</f>
        <v>0</v>
      </c>
      <c r="I464" s="70">
        <f>IF(AND(Pay_Num&lt;&gt;"",Sched_Pay+Extra_Pay&lt;Beg_Bal),Beg_Bal-Princ,IF(Pay_Num&lt;&gt;"",0,""))</f>
        <v>0</v>
      </c>
      <c r="J464" s="70">
        <f>SUM($H$18:$H464)</f>
        <v>431201.75350020552</v>
      </c>
    </row>
    <row r="465" spans="1:10" x14ac:dyDescent="0.3">
      <c r="A465" s="36">
        <f>IF(Values_Entered,A464+1,"")</f>
        <v>448</v>
      </c>
      <c r="B465" s="35">
        <f>IF(Pay_Num&lt;&gt;"",DATE(YEAR(Loan_Start),MONTH(Loan_Start)+(Pay_Num)*12/Num_Pmt_Per_Year,DAY(Loan_Start)),"")</f>
        <v>87092</v>
      </c>
      <c r="C465" s="70">
        <f>IF(Pay_Num&lt;&gt;"",I464,"")</f>
        <v>0</v>
      </c>
      <c r="D465" s="70">
        <f>IF(Pay_Num&lt;&gt;"",Scheduled_Monthly_Payment,"")</f>
        <v>71560.087675010276</v>
      </c>
      <c r="E465" s="71">
        <f>IF(AND(Pay_Num&lt;&gt;"",Sched_Pay+Scheduled_Extra_Payments&lt;Beg_Bal),Scheduled_Extra_Payments,IF(AND(Pay_Num&lt;&gt;"",Beg_Bal-Sched_Pay&gt;0),Beg_Bal-Sched_Pay,IF(Pay_Num&lt;&gt;"",0,"")))</f>
        <v>0</v>
      </c>
      <c r="F465" s="70">
        <f>IF(AND(Pay_Num&lt;&gt;"",Sched_Pay+Extra_Pay&lt;Beg_Bal),Sched_Pay+Extra_Pay,IF(Pay_Num&lt;&gt;"",Beg_Bal,""))</f>
        <v>0</v>
      </c>
      <c r="G465" s="70">
        <f>IF(Pay_Num&lt;&gt;"",Total_Pay-Int,"")</f>
        <v>0</v>
      </c>
      <c r="H465" s="70">
        <f>IF(Pay_Num&lt;&gt;"",Beg_Bal*Interest_Rate/Num_Pmt_Per_Year,"")</f>
        <v>0</v>
      </c>
      <c r="I465" s="70">
        <f>IF(AND(Pay_Num&lt;&gt;"",Sched_Pay+Extra_Pay&lt;Beg_Bal),Beg_Bal-Princ,IF(Pay_Num&lt;&gt;"",0,""))</f>
        <v>0</v>
      </c>
      <c r="J465" s="70">
        <f>SUM($H$18:$H465)</f>
        <v>431201.75350020552</v>
      </c>
    </row>
    <row r="466" spans="1:10" x14ac:dyDescent="0.3">
      <c r="A466" s="36">
        <f>IF(Values_Entered,A465+1,"")</f>
        <v>449</v>
      </c>
      <c r="B466" s="35">
        <f>IF(Pay_Num&lt;&gt;"",DATE(YEAR(Loan_Start),MONTH(Loan_Start)+(Pay_Num)*12/Num_Pmt_Per_Year,DAY(Loan_Start)),"")</f>
        <v>87184</v>
      </c>
      <c r="C466" s="70">
        <f>IF(Pay_Num&lt;&gt;"",I465,"")</f>
        <v>0</v>
      </c>
      <c r="D466" s="70">
        <f>IF(Pay_Num&lt;&gt;"",Scheduled_Monthly_Payment,"")</f>
        <v>71560.087675010276</v>
      </c>
      <c r="E466" s="71">
        <f>IF(AND(Pay_Num&lt;&gt;"",Sched_Pay+Scheduled_Extra_Payments&lt;Beg_Bal),Scheduled_Extra_Payments,IF(AND(Pay_Num&lt;&gt;"",Beg_Bal-Sched_Pay&gt;0),Beg_Bal-Sched_Pay,IF(Pay_Num&lt;&gt;"",0,"")))</f>
        <v>0</v>
      </c>
      <c r="F466" s="70">
        <f>IF(AND(Pay_Num&lt;&gt;"",Sched_Pay+Extra_Pay&lt;Beg_Bal),Sched_Pay+Extra_Pay,IF(Pay_Num&lt;&gt;"",Beg_Bal,""))</f>
        <v>0</v>
      </c>
      <c r="G466" s="70">
        <f>IF(Pay_Num&lt;&gt;"",Total_Pay-Int,"")</f>
        <v>0</v>
      </c>
      <c r="H466" s="70">
        <f>IF(Pay_Num&lt;&gt;"",Beg_Bal*Interest_Rate/Num_Pmt_Per_Year,"")</f>
        <v>0</v>
      </c>
      <c r="I466" s="70">
        <f>IF(AND(Pay_Num&lt;&gt;"",Sched_Pay+Extra_Pay&lt;Beg_Bal),Beg_Bal-Princ,IF(Pay_Num&lt;&gt;"",0,""))</f>
        <v>0</v>
      </c>
      <c r="J466" s="70">
        <f>SUM($H$18:$H466)</f>
        <v>431201.75350020552</v>
      </c>
    </row>
    <row r="467" spans="1:10" x14ac:dyDescent="0.3">
      <c r="A467" s="36">
        <f>IF(Values_Entered,A466+1,"")</f>
        <v>450</v>
      </c>
      <c r="B467" s="35">
        <f>IF(Pay_Num&lt;&gt;"",DATE(YEAR(Loan_Start),MONTH(Loan_Start)+(Pay_Num)*12/Num_Pmt_Per_Year,DAY(Loan_Start)),"")</f>
        <v>87275</v>
      </c>
      <c r="C467" s="70">
        <f>IF(Pay_Num&lt;&gt;"",I466,"")</f>
        <v>0</v>
      </c>
      <c r="D467" s="70">
        <f>IF(Pay_Num&lt;&gt;"",Scheduled_Monthly_Payment,"")</f>
        <v>71560.087675010276</v>
      </c>
      <c r="E467" s="71">
        <f>IF(AND(Pay_Num&lt;&gt;"",Sched_Pay+Scheduled_Extra_Payments&lt;Beg_Bal),Scheduled_Extra_Payments,IF(AND(Pay_Num&lt;&gt;"",Beg_Bal-Sched_Pay&gt;0),Beg_Bal-Sched_Pay,IF(Pay_Num&lt;&gt;"",0,"")))</f>
        <v>0</v>
      </c>
      <c r="F467" s="70">
        <f>IF(AND(Pay_Num&lt;&gt;"",Sched_Pay+Extra_Pay&lt;Beg_Bal),Sched_Pay+Extra_Pay,IF(Pay_Num&lt;&gt;"",Beg_Bal,""))</f>
        <v>0</v>
      </c>
      <c r="G467" s="70">
        <f>IF(Pay_Num&lt;&gt;"",Total_Pay-Int,"")</f>
        <v>0</v>
      </c>
      <c r="H467" s="70">
        <f>IF(Pay_Num&lt;&gt;"",Beg_Bal*Interest_Rate/Num_Pmt_Per_Year,"")</f>
        <v>0</v>
      </c>
      <c r="I467" s="70">
        <f>IF(AND(Pay_Num&lt;&gt;"",Sched_Pay+Extra_Pay&lt;Beg_Bal),Beg_Bal-Princ,IF(Pay_Num&lt;&gt;"",0,""))</f>
        <v>0</v>
      </c>
      <c r="J467" s="70">
        <f>SUM($H$18:$H467)</f>
        <v>431201.75350020552</v>
      </c>
    </row>
    <row r="468" spans="1:10" x14ac:dyDescent="0.3">
      <c r="A468" s="36">
        <f>IF(Values_Entered,A467+1,"")</f>
        <v>451</v>
      </c>
      <c r="B468" s="35">
        <f>IF(Pay_Num&lt;&gt;"",DATE(YEAR(Loan_Start),MONTH(Loan_Start)+(Pay_Num)*12/Num_Pmt_Per_Year,DAY(Loan_Start)),"")</f>
        <v>87365</v>
      </c>
      <c r="C468" s="70">
        <f>IF(Pay_Num&lt;&gt;"",I467,"")</f>
        <v>0</v>
      </c>
      <c r="D468" s="70">
        <f>IF(Pay_Num&lt;&gt;"",Scheduled_Monthly_Payment,"")</f>
        <v>71560.087675010276</v>
      </c>
      <c r="E468" s="71">
        <f>IF(AND(Pay_Num&lt;&gt;"",Sched_Pay+Scheduled_Extra_Payments&lt;Beg_Bal),Scheduled_Extra_Payments,IF(AND(Pay_Num&lt;&gt;"",Beg_Bal-Sched_Pay&gt;0),Beg_Bal-Sched_Pay,IF(Pay_Num&lt;&gt;"",0,"")))</f>
        <v>0</v>
      </c>
      <c r="F468" s="70">
        <f>IF(AND(Pay_Num&lt;&gt;"",Sched_Pay+Extra_Pay&lt;Beg_Bal),Sched_Pay+Extra_Pay,IF(Pay_Num&lt;&gt;"",Beg_Bal,""))</f>
        <v>0</v>
      </c>
      <c r="G468" s="70">
        <f>IF(Pay_Num&lt;&gt;"",Total_Pay-Int,"")</f>
        <v>0</v>
      </c>
      <c r="H468" s="70">
        <f>IF(Pay_Num&lt;&gt;"",Beg_Bal*Interest_Rate/Num_Pmt_Per_Year,"")</f>
        <v>0</v>
      </c>
      <c r="I468" s="70">
        <f>IF(AND(Pay_Num&lt;&gt;"",Sched_Pay+Extra_Pay&lt;Beg_Bal),Beg_Bal-Princ,IF(Pay_Num&lt;&gt;"",0,""))</f>
        <v>0</v>
      </c>
      <c r="J468" s="70">
        <f>SUM($H$18:$H468)</f>
        <v>431201.75350020552</v>
      </c>
    </row>
    <row r="469" spans="1:10" x14ac:dyDescent="0.3">
      <c r="A469" s="36">
        <f>IF(Values_Entered,A468+1,"")</f>
        <v>452</v>
      </c>
      <c r="B469" s="35">
        <f>IF(Pay_Num&lt;&gt;"",DATE(YEAR(Loan_Start),MONTH(Loan_Start)+(Pay_Num)*12/Num_Pmt_Per_Year,DAY(Loan_Start)),"")</f>
        <v>87457</v>
      </c>
      <c r="C469" s="70">
        <f>IF(Pay_Num&lt;&gt;"",I468,"")</f>
        <v>0</v>
      </c>
      <c r="D469" s="70">
        <f>IF(Pay_Num&lt;&gt;"",Scheduled_Monthly_Payment,"")</f>
        <v>71560.087675010276</v>
      </c>
      <c r="E469" s="71">
        <f>IF(AND(Pay_Num&lt;&gt;"",Sched_Pay+Scheduled_Extra_Payments&lt;Beg_Bal),Scheduled_Extra_Payments,IF(AND(Pay_Num&lt;&gt;"",Beg_Bal-Sched_Pay&gt;0),Beg_Bal-Sched_Pay,IF(Pay_Num&lt;&gt;"",0,"")))</f>
        <v>0</v>
      </c>
      <c r="F469" s="70">
        <f>IF(AND(Pay_Num&lt;&gt;"",Sched_Pay+Extra_Pay&lt;Beg_Bal),Sched_Pay+Extra_Pay,IF(Pay_Num&lt;&gt;"",Beg_Bal,""))</f>
        <v>0</v>
      </c>
      <c r="G469" s="70">
        <f>IF(Pay_Num&lt;&gt;"",Total_Pay-Int,"")</f>
        <v>0</v>
      </c>
      <c r="H469" s="70">
        <f>IF(Pay_Num&lt;&gt;"",Beg_Bal*Interest_Rate/Num_Pmt_Per_Year,"")</f>
        <v>0</v>
      </c>
      <c r="I469" s="70">
        <f>IF(AND(Pay_Num&lt;&gt;"",Sched_Pay+Extra_Pay&lt;Beg_Bal),Beg_Bal-Princ,IF(Pay_Num&lt;&gt;"",0,""))</f>
        <v>0</v>
      </c>
      <c r="J469" s="70">
        <f>SUM($H$18:$H469)</f>
        <v>431201.75350020552</v>
      </c>
    </row>
    <row r="470" spans="1:10" x14ac:dyDescent="0.3">
      <c r="A470" s="36">
        <f>IF(Values_Entered,A469+1,"")</f>
        <v>453</v>
      </c>
      <c r="B470" s="35">
        <f>IF(Pay_Num&lt;&gt;"",DATE(YEAR(Loan_Start),MONTH(Loan_Start)+(Pay_Num)*12/Num_Pmt_Per_Year,DAY(Loan_Start)),"")</f>
        <v>87549</v>
      </c>
      <c r="C470" s="70">
        <f>IF(Pay_Num&lt;&gt;"",I469,"")</f>
        <v>0</v>
      </c>
      <c r="D470" s="70">
        <f>IF(Pay_Num&lt;&gt;"",Scheduled_Monthly_Payment,"")</f>
        <v>71560.087675010276</v>
      </c>
      <c r="E470" s="71">
        <f>IF(AND(Pay_Num&lt;&gt;"",Sched_Pay+Scheduled_Extra_Payments&lt;Beg_Bal),Scheduled_Extra_Payments,IF(AND(Pay_Num&lt;&gt;"",Beg_Bal-Sched_Pay&gt;0),Beg_Bal-Sched_Pay,IF(Pay_Num&lt;&gt;"",0,"")))</f>
        <v>0</v>
      </c>
      <c r="F470" s="70">
        <f>IF(AND(Pay_Num&lt;&gt;"",Sched_Pay+Extra_Pay&lt;Beg_Bal),Sched_Pay+Extra_Pay,IF(Pay_Num&lt;&gt;"",Beg_Bal,""))</f>
        <v>0</v>
      </c>
      <c r="G470" s="70">
        <f>IF(Pay_Num&lt;&gt;"",Total_Pay-Int,"")</f>
        <v>0</v>
      </c>
      <c r="H470" s="70">
        <f>IF(Pay_Num&lt;&gt;"",Beg_Bal*Interest_Rate/Num_Pmt_Per_Year,"")</f>
        <v>0</v>
      </c>
      <c r="I470" s="70">
        <f>IF(AND(Pay_Num&lt;&gt;"",Sched_Pay+Extra_Pay&lt;Beg_Bal),Beg_Bal-Princ,IF(Pay_Num&lt;&gt;"",0,""))</f>
        <v>0</v>
      </c>
      <c r="J470" s="70">
        <f>SUM($H$18:$H470)</f>
        <v>431201.75350020552</v>
      </c>
    </row>
    <row r="471" spans="1:10" x14ac:dyDescent="0.3">
      <c r="A471" s="36">
        <f>IF(Values_Entered,A470+1,"")</f>
        <v>454</v>
      </c>
      <c r="B471" s="35">
        <f>IF(Pay_Num&lt;&gt;"",DATE(YEAR(Loan_Start),MONTH(Loan_Start)+(Pay_Num)*12/Num_Pmt_Per_Year,DAY(Loan_Start)),"")</f>
        <v>87640</v>
      </c>
      <c r="C471" s="70">
        <f>IF(Pay_Num&lt;&gt;"",I470,"")</f>
        <v>0</v>
      </c>
      <c r="D471" s="70">
        <f>IF(Pay_Num&lt;&gt;"",Scheduled_Monthly_Payment,"")</f>
        <v>71560.087675010276</v>
      </c>
      <c r="E471" s="71">
        <f>IF(AND(Pay_Num&lt;&gt;"",Sched_Pay+Scheduled_Extra_Payments&lt;Beg_Bal),Scheduled_Extra_Payments,IF(AND(Pay_Num&lt;&gt;"",Beg_Bal-Sched_Pay&gt;0),Beg_Bal-Sched_Pay,IF(Pay_Num&lt;&gt;"",0,"")))</f>
        <v>0</v>
      </c>
      <c r="F471" s="70">
        <f>IF(AND(Pay_Num&lt;&gt;"",Sched_Pay+Extra_Pay&lt;Beg_Bal),Sched_Pay+Extra_Pay,IF(Pay_Num&lt;&gt;"",Beg_Bal,""))</f>
        <v>0</v>
      </c>
      <c r="G471" s="70">
        <f>IF(Pay_Num&lt;&gt;"",Total_Pay-Int,"")</f>
        <v>0</v>
      </c>
      <c r="H471" s="70">
        <f>IF(Pay_Num&lt;&gt;"",Beg_Bal*Interest_Rate/Num_Pmt_Per_Year,"")</f>
        <v>0</v>
      </c>
      <c r="I471" s="70">
        <f>IF(AND(Pay_Num&lt;&gt;"",Sched_Pay+Extra_Pay&lt;Beg_Bal),Beg_Bal-Princ,IF(Pay_Num&lt;&gt;"",0,""))</f>
        <v>0</v>
      </c>
      <c r="J471" s="70">
        <f>SUM($H$18:$H471)</f>
        <v>431201.75350020552</v>
      </c>
    </row>
    <row r="472" spans="1:10" x14ac:dyDescent="0.3">
      <c r="A472" s="36">
        <f>IF(Values_Entered,A471+1,"")</f>
        <v>455</v>
      </c>
      <c r="B472" s="35">
        <f>IF(Pay_Num&lt;&gt;"",DATE(YEAR(Loan_Start),MONTH(Loan_Start)+(Pay_Num)*12/Num_Pmt_Per_Year,DAY(Loan_Start)),"")</f>
        <v>87731</v>
      </c>
      <c r="C472" s="70">
        <f>IF(Pay_Num&lt;&gt;"",I471,"")</f>
        <v>0</v>
      </c>
      <c r="D472" s="70">
        <f>IF(Pay_Num&lt;&gt;"",Scheduled_Monthly_Payment,"")</f>
        <v>71560.087675010276</v>
      </c>
      <c r="E472" s="71">
        <f>IF(AND(Pay_Num&lt;&gt;"",Sched_Pay+Scheduled_Extra_Payments&lt;Beg_Bal),Scheduled_Extra_Payments,IF(AND(Pay_Num&lt;&gt;"",Beg_Bal-Sched_Pay&gt;0),Beg_Bal-Sched_Pay,IF(Pay_Num&lt;&gt;"",0,"")))</f>
        <v>0</v>
      </c>
      <c r="F472" s="70">
        <f>IF(AND(Pay_Num&lt;&gt;"",Sched_Pay+Extra_Pay&lt;Beg_Bal),Sched_Pay+Extra_Pay,IF(Pay_Num&lt;&gt;"",Beg_Bal,""))</f>
        <v>0</v>
      </c>
      <c r="G472" s="70">
        <f>IF(Pay_Num&lt;&gt;"",Total_Pay-Int,"")</f>
        <v>0</v>
      </c>
      <c r="H472" s="70">
        <f>IF(Pay_Num&lt;&gt;"",Beg_Bal*Interest_Rate/Num_Pmt_Per_Year,"")</f>
        <v>0</v>
      </c>
      <c r="I472" s="70">
        <f>IF(AND(Pay_Num&lt;&gt;"",Sched_Pay+Extra_Pay&lt;Beg_Bal),Beg_Bal-Princ,IF(Pay_Num&lt;&gt;"",0,""))</f>
        <v>0</v>
      </c>
      <c r="J472" s="70">
        <f>SUM($H$18:$H472)</f>
        <v>431201.75350020552</v>
      </c>
    </row>
    <row r="473" spans="1:10" x14ac:dyDescent="0.3">
      <c r="A473" s="36">
        <f>IF(Values_Entered,A472+1,"")</f>
        <v>456</v>
      </c>
      <c r="B473" s="35">
        <f>IF(Pay_Num&lt;&gt;"",DATE(YEAR(Loan_Start),MONTH(Loan_Start)+(Pay_Num)*12/Num_Pmt_Per_Year,DAY(Loan_Start)),"")</f>
        <v>87823</v>
      </c>
      <c r="C473" s="70">
        <f>IF(Pay_Num&lt;&gt;"",I472,"")</f>
        <v>0</v>
      </c>
      <c r="D473" s="70">
        <f>IF(Pay_Num&lt;&gt;"",Scheduled_Monthly_Payment,"")</f>
        <v>71560.087675010276</v>
      </c>
      <c r="E473" s="71">
        <f>IF(AND(Pay_Num&lt;&gt;"",Sched_Pay+Scheduled_Extra_Payments&lt;Beg_Bal),Scheduled_Extra_Payments,IF(AND(Pay_Num&lt;&gt;"",Beg_Bal-Sched_Pay&gt;0),Beg_Bal-Sched_Pay,IF(Pay_Num&lt;&gt;"",0,"")))</f>
        <v>0</v>
      </c>
      <c r="F473" s="70">
        <f>IF(AND(Pay_Num&lt;&gt;"",Sched_Pay+Extra_Pay&lt;Beg_Bal),Sched_Pay+Extra_Pay,IF(Pay_Num&lt;&gt;"",Beg_Bal,""))</f>
        <v>0</v>
      </c>
      <c r="G473" s="70">
        <f>IF(Pay_Num&lt;&gt;"",Total_Pay-Int,"")</f>
        <v>0</v>
      </c>
      <c r="H473" s="70">
        <f>IF(Pay_Num&lt;&gt;"",Beg_Bal*Interest_Rate/Num_Pmt_Per_Year,"")</f>
        <v>0</v>
      </c>
      <c r="I473" s="70">
        <f>IF(AND(Pay_Num&lt;&gt;"",Sched_Pay+Extra_Pay&lt;Beg_Bal),Beg_Bal-Princ,IF(Pay_Num&lt;&gt;"",0,""))</f>
        <v>0</v>
      </c>
      <c r="J473" s="70">
        <f>SUM($H$18:$H473)</f>
        <v>431201.75350020552</v>
      </c>
    </row>
    <row r="474" spans="1:10" x14ac:dyDescent="0.3">
      <c r="A474" s="36">
        <f>IF(Values_Entered,A473+1,"")</f>
        <v>457</v>
      </c>
      <c r="B474" s="35">
        <f>IF(Pay_Num&lt;&gt;"",DATE(YEAR(Loan_Start),MONTH(Loan_Start)+(Pay_Num)*12/Num_Pmt_Per_Year,DAY(Loan_Start)),"")</f>
        <v>87915</v>
      </c>
      <c r="C474" s="70">
        <f>IF(Pay_Num&lt;&gt;"",I473,"")</f>
        <v>0</v>
      </c>
      <c r="D474" s="70">
        <f>IF(Pay_Num&lt;&gt;"",Scheduled_Monthly_Payment,"")</f>
        <v>71560.087675010276</v>
      </c>
      <c r="E474" s="71">
        <f>IF(AND(Pay_Num&lt;&gt;"",Sched_Pay+Scheduled_Extra_Payments&lt;Beg_Bal),Scheduled_Extra_Payments,IF(AND(Pay_Num&lt;&gt;"",Beg_Bal-Sched_Pay&gt;0),Beg_Bal-Sched_Pay,IF(Pay_Num&lt;&gt;"",0,"")))</f>
        <v>0</v>
      </c>
      <c r="F474" s="70">
        <f>IF(AND(Pay_Num&lt;&gt;"",Sched_Pay+Extra_Pay&lt;Beg_Bal),Sched_Pay+Extra_Pay,IF(Pay_Num&lt;&gt;"",Beg_Bal,""))</f>
        <v>0</v>
      </c>
      <c r="G474" s="70">
        <f>IF(Pay_Num&lt;&gt;"",Total_Pay-Int,"")</f>
        <v>0</v>
      </c>
      <c r="H474" s="70">
        <f>IF(Pay_Num&lt;&gt;"",Beg_Bal*Interest_Rate/Num_Pmt_Per_Year,"")</f>
        <v>0</v>
      </c>
      <c r="I474" s="70">
        <f>IF(AND(Pay_Num&lt;&gt;"",Sched_Pay+Extra_Pay&lt;Beg_Bal),Beg_Bal-Princ,IF(Pay_Num&lt;&gt;"",0,""))</f>
        <v>0</v>
      </c>
      <c r="J474" s="70">
        <f>SUM($H$18:$H474)</f>
        <v>431201.75350020552</v>
      </c>
    </row>
    <row r="475" spans="1:10" x14ac:dyDescent="0.3">
      <c r="A475" s="36">
        <f>IF(Values_Entered,A474+1,"")</f>
        <v>458</v>
      </c>
      <c r="B475" s="35">
        <f>IF(Pay_Num&lt;&gt;"",DATE(YEAR(Loan_Start),MONTH(Loan_Start)+(Pay_Num)*12/Num_Pmt_Per_Year,DAY(Loan_Start)),"")</f>
        <v>88006</v>
      </c>
      <c r="C475" s="70">
        <f>IF(Pay_Num&lt;&gt;"",I474,"")</f>
        <v>0</v>
      </c>
      <c r="D475" s="70">
        <f>IF(Pay_Num&lt;&gt;"",Scheduled_Monthly_Payment,"")</f>
        <v>71560.087675010276</v>
      </c>
      <c r="E475" s="71">
        <f>IF(AND(Pay_Num&lt;&gt;"",Sched_Pay+Scheduled_Extra_Payments&lt;Beg_Bal),Scheduled_Extra_Payments,IF(AND(Pay_Num&lt;&gt;"",Beg_Bal-Sched_Pay&gt;0),Beg_Bal-Sched_Pay,IF(Pay_Num&lt;&gt;"",0,"")))</f>
        <v>0</v>
      </c>
      <c r="F475" s="70">
        <f>IF(AND(Pay_Num&lt;&gt;"",Sched_Pay+Extra_Pay&lt;Beg_Bal),Sched_Pay+Extra_Pay,IF(Pay_Num&lt;&gt;"",Beg_Bal,""))</f>
        <v>0</v>
      </c>
      <c r="G475" s="70">
        <f>IF(Pay_Num&lt;&gt;"",Total_Pay-Int,"")</f>
        <v>0</v>
      </c>
      <c r="H475" s="70">
        <f>IF(Pay_Num&lt;&gt;"",Beg_Bal*Interest_Rate/Num_Pmt_Per_Year,"")</f>
        <v>0</v>
      </c>
      <c r="I475" s="70">
        <f>IF(AND(Pay_Num&lt;&gt;"",Sched_Pay+Extra_Pay&lt;Beg_Bal),Beg_Bal-Princ,IF(Pay_Num&lt;&gt;"",0,""))</f>
        <v>0</v>
      </c>
      <c r="J475" s="70">
        <f>SUM($H$18:$H475)</f>
        <v>431201.75350020552</v>
      </c>
    </row>
    <row r="476" spans="1:10" x14ac:dyDescent="0.3">
      <c r="A476" s="36">
        <f>IF(Values_Entered,A475+1,"")</f>
        <v>459</v>
      </c>
      <c r="B476" s="35">
        <f>IF(Pay_Num&lt;&gt;"",DATE(YEAR(Loan_Start),MONTH(Loan_Start)+(Pay_Num)*12/Num_Pmt_Per_Year,DAY(Loan_Start)),"")</f>
        <v>88096</v>
      </c>
      <c r="C476" s="70">
        <f>IF(Pay_Num&lt;&gt;"",I475,"")</f>
        <v>0</v>
      </c>
      <c r="D476" s="70">
        <f>IF(Pay_Num&lt;&gt;"",Scheduled_Monthly_Payment,"")</f>
        <v>71560.087675010276</v>
      </c>
      <c r="E476" s="71">
        <f>IF(AND(Pay_Num&lt;&gt;"",Sched_Pay+Scheduled_Extra_Payments&lt;Beg_Bal),Scheduled_Extra_Payments,IF(AND(Pay_Num&lt;&gt;"",Beg_Bal-Sched_Pay&gt;0),Beg_Bal-Sched_Pay,IF(Pay_Num&lt;&gt;"",0,"")))</f>
        <v>0</v>
      </c>
      <c r="F476" s="70">
        <f>IF(AND(Pay_Num&lt;&gt;"",Sched_Pay+Extra_Pay&lt;Beg_Bal),Sched_Pay+Extra_Pay,IF(Pay_Num&lt;&gt;"",Beg_Bal,""))</f>
        <v>0</v>
      </c>
      <c r="G476" s="70">
        <f>IF(Pay_Num&lt;&gt;"",Total_Pay-Int,"")</f>
        <v>0</v>
      </c>
      <c r="H476" s="70">
        <f>IF(Pay_Num&lt;&gt;"",Beg_Bal*Interest_Rate/Num_Pmt_Per_Year,"")</f>
        <v>0</v>
      </c>
      <c r="I476" s="70">
        <f>IF(AND(Pay_Num&lt;&gt;"",Sched_Pay+Extra_Pay&lt;Beg_Bal),Beg_Bal-Princ,IF(Pay_Num&lt;&gt;"",0,""))</f>
        <v>0</v>
      </c>
      <c r="J476" s="70">
        <f>SUM($H$18:$H476)</f>
        <v>431201.75350020552</v>
      </c>
    </row>
    <row r="477" spans="1:10" x14ac:dyDescent="0.3">
      <c r="A477" s="36">
        <f>IF(Values_Entered,A476+1,"")</f>
        <v>460</v>
      </c>
      <c r="B477" s="35">
        <f>IF(Pay_Num&lt;&gt;"",DATE(YEAR(Loan_Start),MONTH(Loan_Start)+(Pay_Num)*12/Num_Pmt_Per_Year,DAY(Loan_Start)),"")</f>
        <v>88188</v>
      </c>
      <c r="C477" s="70">
        <f>IF(Pay_Num&lt;&gt;"",I476,"")</f>
        <v>0</v>
      </c>
      <c r="D477" s="70">
        <f>IF(Pay_Num&lt;&gt;"",Scheduled_Monthly_Payment,"")</f>
        <v>71560.087675010276</v>
      </c>
      <c r="E477" s="71">
        <f>IF(AND(Pay_Num&lt;&gt;"",Sched_Pay+Scheduled_Extra_Payments&lt;Beg_Bal),Scheduled_Extra_Payments,IF(AND(Pay_Num&lt;&gt;"",Beg_Bal-Sched_Pay&gt;0),Beg_Bal-Sched_Pay,IF(Pay_Num&lt;&gt;"",0,"")))</f>
        <v>0</v>
      </c>
      <c r="F477" s="70">
        <f>IF(AND(Pay_Num&lt;&gt;"",Sched_Pay+Extra_Pay&lt;Beg_Bal),Sched_Pay+Extra_Pay,IF(Pay_Num&lt;&gt;"",Beg_Bal,""))</f>
        <v>0</v>
      </c>
      <c r="G477" s="70">
        <f>IF(Pay_Num&lt;&gt;"",Total_Pay-Int,"")</f>
        <v>0</v>
      </c>
      <c r="H477" s="70">
        <f>IF(Pay_Num&lt;&gt;"",Beg_Bal*Interest_Rate/Num_Pmt_Per_Year,"")</f>
        <v>0</v>
      </c>
      <c r="I477" s="70">
        <f>IF(AND(Pay_Num&lt;&gt;"",Sched_Pay+Extra_Pay&lt;Beg_Bal),Beg_Bal-Princ,IF(Pay_Num&lt;&gt;"",0,""))</f>
        <v>0</v>
      </c>
      <c r="J477" s="70">
        <f>SUM($H$18:$H477)</f>
        <v>431201.75350020552</v>
      </c>
    </row>
    <row r="478" spans="1:10" x14ac:dyDescent="0.3">
      <c r="A478" s="36">
        <f>IF(Values_Entered,A477+1,"")</f>
        <v>461</v>
      </c>
      <c r="B478" s="35">
        <f>IF(Pay_Num&lt;&gt;"",DATE(YEAR(Loan_Start),MONTH(Loan_Start)+(Pay_Num)*12/Num_Pmt_Per_Year,DAY(Loan_Start)),"")</f>
        <v>88280</v>
      </c>
      <c r="C478" s="70">
        <f>IF(Pay_Num&lt;&gt;"",I477,"")</f>
        <v>0</v>
      </c>
      <c r="D478" s="70">
        <f>IF(Pay_Num&lt;&gt;"",Scheduled_Monthly_Payment,"")</f>
        <v>71560.087675010276</v>
      </c>
      <c r="E478" s="71">
        <f>IF(AND(Pay_Num&lt;&gt;"",Sched_Pay+Scheduled_Extra_Payments&lt;Beg_Bal),Scheduled_Extra_Payments,IF(AND(Pay_Num&lt;&gt;"",Beg_Bal-Sched_Pay&gt;0),Beg_Bal-Sched_Pay,IF(Pay_Num&lt;&gt;"",0,"")))</f>
        <v>0</v>
      </c>
      <c r="F478" s="70">
        <f>IF(AND(Pay_Num&lt;&gt;"",Sched_Pay+Extra_Pay&lt;Beg_Bal),Sched_Pay+Extra_Pay,IF(Pay_Num&lt;&gt;"",Beg_Bal,""))</f>
        <v>0</v>
      </c>
      <c r="G478" s="70">
        <f>IF(Pay_Num&lt;&gt;"",Total_Pay-Int,"")</f>
        <v>0</v>
      </c>
      <c r="H478" s="70">
        <f>IF(Pay_Num&lt;&gt;"",Beg_Bal*Interest_Rate/Num_Pmt_Per_Year,"")</f>
        <v>0</v>
      </c>
      <c r="I478" s="70">
        <f>IF(AND(Pay_Num&lt;&gt;"",Sched_Pay+Extra_Pay&lt;Beg_Bal),Beg_Bal-Princ,IF(Pay_Num&lt;&gt;"",0,""))</f>
        <v>0</v>
      </c>
      <c r="J478" s="70">
        <f>SUM($H$18:$H478)</f>
        <v>431201.75350020552</v>
      </c>
    </row>
    <row r="479" spans="1:10" x14ac:dyDescent="0.3">
      <c r="A479" s="36">
        <f>IF(Values_Entered,A478+1,"")</f>
        <v>462</v>
      </c>
      <c r="B479" s="35">
        <f>IF(Pay_Num&lt;&gt;"",DATE(YEAR(Loan_Start),MONTH(Loan_Start)+(Pay_Num)*12/Num_Pmt_Per_Year,DAY(Loan_Start)),"")</f>
        <v>88371</v>
      </c>
      <c r="C479" s="70">
        <f>IF(Pay_Num&lt;&gt;"",I478,"")</f>
        <v>0</v>
      </c>
      <c r="D479" s="70">
        <f>IF(Pay_Num&lt;&gt;"",Scheduled_Monthly_Payment,"")</f>
        <v>71560.087675010276</v>
      </c>
      <c r="E479" s="71">
        <f>IF(AND(Pay_Num&lt;&gt;"",Sched_Pay+Scheduled_Extra_Payments&lt;Beg_Bal),Scheduled_Extra_Payments,IF(AND(Pay_Num&lt;&gt;"",Beg_Bal-Sched_Pay&gt;0),Beg_Bal-Sched_Pay,IF(Pay_Num&lt;&gt;"",0,"")))</f>
        <v>0</v>
      </c>
      <c r="F479" s="70">
        <f>IF(AND(Pay_Num&lt;&gt;"",Sched_Pay+Extra_Pay&lt;Beg_Bal),Sched_Pay+Extra_Pay,IF(Pay_Num&lt;&gt;"",Beg_Bal,""))</f>
        <v>0</v>
      </c>
      <c r="G479" s="70">
        <f>IF(Pay_Num&lt;&gt;"",Total_Pay-Int,"")</f>
        <v>0</v>
      </c>
      <c r="H479" s="70">
        <f>IF(Pay_Num&lt;&gt;"",Beg_Bal*Interest_Rate/Num_Pmt_Per_Year,"")</f>
        <v>0</v>
      </c>
      <c r="I479" s="70">
        <f>IF(AND(Pay_Num&lt;&gt;"",Sched_Pay+Extra_Pay&lt;Beg_Bal),Beg_Bal-Princ,IF(Pay_Num&lt;&gt;"",0,""))</f>
        <v>0</v>
      </c>
      <c r="J479" s="70">
        <f>SUM($H$18:$H479)</f>
        <v>431201.75350020552</v>
      </c>
    </row>
    <row r="480" spans="1:10" x14ac:dyDescent="0.3">
      <c r="A480" s="36">
        <f>IF(Values_Entered,A479+1,"")</f>
        <v>463</v>
      </c>
      <c r="B480" s="35">
        <f>IF(Pay_Num&lt;&gt;"",DATE(YEAR(Loan_Start),MONTH(Loan_Start)+(Pay_Num)*12/Num_Pmt_Per_Year,DAY(Loan_Start)),"")</f>
        <v>88461</v>
      </c>
      <c r="C480" s="70">
        <f>IF(Pay_Num&lt;&gt;"",I479,"")</f>
        <v>0</v>
      </c>
      <c r="D480" s="70">
        <f>IF(Pay_Num&lt;&gt;"",Scheduled_Monthly_Payment,"")</f>
        <v>71560.087675010276</v>
      </c>
      <c r="E480" s="71">
        <f>IF(AND(Pay_Num&lt;&gt;"",Sched_Pay+Scheduled_Extra_Payments&lt;Beg_Bal),Scheduled_Extra_Payments,IF(AND(Pay_Num&lt;&gt;"",Beg_Bal-Sched_Pay&gt;0),Beg_Bal-Sched_Pay,IF(Pay_Num&lt;&gt;"",0,"")))</f>
        <v>0</v>
      </c>
      <c r="F480" s="70">
        <f>IF(AND(Pay_Num&lt;&gt;"",Sched_Pay+Extra_Pay&lt;Beg_Bal),Sched_Pay+Extra_Pay,IF(Pay_Num&lt;&gt;"",Beg_Bal,""))</f>
        <v>0</v>
      </c>
      <c r="G480" s="70">
        <f>IF(Pay_Num&lt;&gt;"",Total_Pay-Int,"")</f>
        <v>0</v>
      </c>
      <c r="H480" s="70">
        <f>IF(Pay_Num&lt;&gt;"",Beg_Bal*Interest_Rate/Num_Pmt_Per_Year,"")</f>
        <v>0</v>
      </c>
      <c r="I480" s="70">
        <f>IF(AND(Pay_Num&lt;&gt;"",Sched_Pay+Extra_Pay&lt;Beg_Bal),Beg_Bal-Princ,IF(Pay_Num&lt;&gt;"",0,""))</f>
        <v>0</v>
      </c>
      <c r="J480" s="70">
        <f>SUM($H$18:$H480)</f>
        <v>431201.75350020552</v>
      </c>
    </row>
    <row r="481" spans="1:10" x14ac:dyDescent="0.3">
      <c r="A481" s="36">
        <f>IF(Values_Entered,A480+1,"")</f>
        <v>464</v>
      </c>
      <c r="B481" s="35">
        <f>IF(Pay_Num&lt;&gt;"",DATE(YEAR(Loan_Start),MONTH(Loan_Start)+(Pay_Num)*12/Num_Pmt_Per_Year,DAY(Loan_Start)),"")</f>
        <v>88553</v>
      </c>
      <c r="C481" s="70">
        <f>IF(Pay_Num&lt;&gt;"",I480,"")</f>
        <v>0</v>
      </c>
      <c r="D481" s="70">
        <f>IF(Pay_Num&lt;&gt;"",Scheduled_Monthly_Payment,"")</f>
        <v>71560.087675010276</v>
      </c>
      <c r="E481" s="71">
        <f>IF(AND(Pay_Num&lt;&gt;"",Sched_Pay+Scheduled_Extra_Payments&lt;Beg_Bal),Scheduled_Extra_Payments,IF(AND(Pay_Num&lt;&gt;"",Beg_Bal-Sched_Pay&gt;0),Beg_Bal-Sched_Pay,IF(Pay_Num&lt;&gt;"",0,"")))</f>
        <v>0</v>
      </c>
      <c r="F481" s="70">
        <f>IF(AND(Pay_Num&lt;&gt;"",Sched_Pay+Extra_Pay&lt;Beg_Bal),Sched_Pay+Extra_Pay,IF(Pay_Num&lt;&gt;"",Beg_Bal,""))</f>
        <v>0</v>
      </c>
      <c r="G481" s="70">
        <f>IF(Pay_Num&lt;&gt;"",Total_Pay-Int,"")</f>
        <v>0</v>
      </c>
      <c r="H481" s="70">
        <f>IF(Pay_Num&lt;&gt;"",Beg_Bal*Interest_Rate/Num_Pmt_Per_Year,"")</f>
        <v>0</v>
      </c>
      <c r="I481" s="70">
        <f>IF(AND(Pay_Num&lt;&gt;"",Sched_Pay+Extra_Pay&lt;Beg_Bal),Beg_Bal-Princ,IF(Pay_Num&lt;&gt;"",0,""))</f>
        <v>0</v>
      </c>
      <c r="J481" s="70">
        <f>SUM($H$18:$H481)</f>
        <v>431201.75350020552</v>
      </c>
    </row>
    <row r="482" spans="1:10" x14ac:dyDescent="0.3">
      <c r="A482" s="36">
        <f>IF(Values_Entered,A481+1,"")</f>
        <v>465</v>
      </c>
      <c r="B482" s="35">
        <f>IF(Pay_Num&lt;&gt;"",DATE(YEAR(Loan_Start),MONTH(Loan_Start)+(Pay_Num)*12/Num_Pmt_Per_Year,DAY(Loan_Start)),"")</f>
        <v>88645</v>
      </c>
      <c r="C482" s="70">
        <f>IF(Pay_Num&lt;&gt;"",I481,"")</f>
        <v>0</v>
      </c>
      <c r="D482" s="70">
        <f>IF(Pay_Num&lt;&gt;"",Scheduled_Monthly_Payment,"")</f>
        <v>71560.087675010276</v>
      </c>
      <c r="E482" s="71">
        <f>IF(AND(Pay_Num&lt;&gt;"",Sched_Pay+Scheduled_Extra_Payments&lt;Beg_Bal),Scheduled_Extra_Payments,IF(AND(Pay_Num&lt;&gt;"",Beg_Bal-Sched_Pay&gt;0),Beg_Bal-Sched_Pay,IF(Pay_Num&lt;&gt;"",0,"")))</f>
        <v>0</v>
      </c>
      <c r="F482" s="70">
        <f>IF(AND(Pay_Num&lt;&gt;"",Sched_Pay+Extra_Pay&lt;Beg_Bal),Sched_Pay+Extra_Pay,IF(Pay_Num&lt;&gt;"",Beg_Bal,""))</f>
        <v>0</v>
      </c>
      <c r="G482" s="70">
        <f>IF(Pay_Num&lt;&gt;"",Total_Pay-Int,"")</f>
        <v>0</v>
      </c>
      <c r="H482" s="70">
        <f>IF(Pay_Num&lt;&gt;"",Beg_Bal*Interest_Rate/Num_Pmt_Per_Year,"")</f>
        <v>0</v>
      </c>
      <c r="I482" s="70">
        <f>IF(AND(Pay_Num&lt;&gt;"",Sched_Pay+Extra_Pay&lt;Beg_Bal),Beg_Bal-Princ,IF(Pay_Num&lt;&gt;"",0,""))</f>
        <v>0</v>
      </c>
      <c r="J482" s="70">
        <f>SUM($H$18:$H482)</f>
        <v>431201.75350020552</v>
      </c>
    </row>
    <row r="483" spans="1:10" x14ac:dyDescent="0.3">
      <c r="A483" s="36">
        <f>IF(Values_Entered,A482+1,"")</f>
        <v>466</v>
      </c>
      <c r="B483" s="35">
        <f>IF(Pay_Num&lt;&gt;"",DATE(YEAR(Loan_Start),MONTH(Loan_Start)+(Pay_Num)*12/Num_Pmt_Per_Year,DAY(Loan_Start)),"")</f>
        <v>88736</v>
      </c>
      <c r="C483" s="70">
        <f>IF(Pay_Num&lt;&gt;"",I482,"")</f>
        <v>0</v>
      </c>
      <c r="D483" s="70">
        <f>IF(Pay_Num&lt;&gt;"",Scheduled_Monthly_Payment,"")</f>
        <v>71560.087675010276</v>
      </c>
      <c r="E483" s="71">
        <f>IF(AND(Pay_Num&lt;&gt;"",Sched_Pay+Scheduled_Extra_Payments&lt;Beg_Bal),Scheduled_Extra_Payments,IF(AND(Pay_Num&lt;&gt;"",Beg_Bal-Sched_Pay&gt;0),Beg_Bal-Sched_Pay,IF(Pay_Num&lt;&gt;"",0,"")))</f>
        <v>0</v>
      </c>
      <c r="F483" s="70">
        <f>IF(AND(Pay_Num&lt;&gt;"",Sched_Pay+Extra_Pay&lt;Beg_Bal),Sched_Pay+Extra_Pay,IF(Pay_Num&lt;&gt;"",Beg_Bal,""))</f>
        <v>0</v>
      </c>
      <c r="G483" s="70">
        <f>IF(Pay_Num&lt;&gt;"",Total_Pay-Int,"")</f>
        <v>0</v>
      </c>
      <c r="H483" s="70">
        <f>IF(Pay_Num&lt;&gt;"",Beg_Bal*Interest_Rate/Num_Pmt_Per_Year,"")</f>
        <v>0</v>
      </c>
      <c r="I483" s="70">
        <f>IF(AND(Pay_Num&lt;&gt;"",Sched_Pay+Extra_Pay&lt;Beg_Bal),Beg_Bal-Princ,IF(Pay_Num&lt;&gt;"",0,""))</f>
        <v>0</v>
      </c>
      <c r="J483" s="70">
        <f>SUM($H$18:$H483)</f>
        <v>431201.75350020552</v>
      </c>
    </row>
    <row r="484" spans="1:10" x14ac:dyDescent="0.3">
      <c r="A484" s="36">
        <f>IF(Values_Entered,A483+1,"")</f>
        <v>467</v>
      </c>
      <c r="B484" s="35">
        <f>IF(Pay_Num&lt;&gt;"",DATE(YEAR(Loan_Start),MONTH(Loan_Start)+(Pay_Num)*12/Num_Pmt_Per_Year,DAY(Loan_Start)),"")</f>
        <v>88826</v>
      </c>
      <c r="C484" s="70">
        <f>IF(Pay_Num&lt;&gt;"",I483,"")</f>
        <v>0</v>
      </c>
      <c r="D484" s="70">
        <f>IF(Pay_Num&lt;&gt;"",Scheduled_Monthly_Payment,"")</f>
        <v>71560.087675010276</v>
      </c>
      <c r="E484" s="71">
        <f>IF(AND(Pay_Num&lt;&gt;"",Sched_Pay+Scheduled_Extra_Payments&lt;Beg_Bal),Scheduled_Extra_Payments,IF(AND(Pay_Num&lt;&gt;"",Beg_Bal-Sched_Pay&gt;0),Beg_Bal-Sched_Pay,IF(Pay_Num&lt;&gt;"",0,"")))</f>
        <v>0</v>
      </c>
      <c r="F484" s="70">
        <f>IF(AND(Pay_Num&lt;&gt;"",Sched_Pay+Extra_Pay&lt;Beg_Bal),Sched_Pay+Extra_Pay,IF(Pay_Num&lt;&gt;"",Beg_Bal,""))</f>
        <v>0</v>
      </c>
      <c r="G484" s="70">
        <f>IF(Pay_Num&lt;&gt;"",Total_Pay-Int,"")</f>
        <v>0</v>
      </c>
      <c r="H484" s="70">
        <f>IF(Pay_Num&lt;&gt;"",Beg_Bal*Interest_Rate/Num_Pmt_Per_Year,"")</f>
        <v>0</v>
      </c>
      <c r="I484" s="70">
        <f>IF(AND(Pay_Num&lt;&gt;"",Sched_Pay+Extra_Pay&lt;Beg_Bal),Beg_Bal-Princ,IF(Pay_Num&lt;&gt;"",0,""))</f>
        <v>0</v>
      </c>
      <c r="J484" s="70">
        <f>SUM($H$18:$H484)</f>
        <v>431201.75350020552</v>
      </c>
    </row>
    <row r="485" spans="1:10" x14ac:dyDescent="0.3">
      <c r="A485" s="36">
        <f>IF(Values_Entered,A484+1,"")</f>
        <v>468</v>
      </c>
      <c r="B485" s="35">
        <f>IF(Pay_Num&lt;&gt;"",DATE(YEAR(Loan_Start),MONTH(Loan_Start)+(Pay_Num)*12/Num_Pmt_Per_Year,DAY(Loan_Start)),"")</f>
        <v>88918</v>
      </c>
      <c r="C485" s="70">
        <f>IF(Pay_Num&lt;&gt;"",I484,"")</f>
        <v>0</v>
      </c>
      <c r="D485" s="70">
        <f>IF(Pay_Num&lt;&gt;"",Scheduled_Monthly_Payment,"")</f>
        <v>71560.087675010276</v>
      </c>
      <c r="E485" s="71">
        <f>IF(AND(Pay_Num&lt;&gt;"",Sched_Pay+Scheduled_Extra_Payments&lt;Beg_Bal),Scheduled_Extra_Payments,IF(AND(Pay_Num&lt;&gt;"",Beg_Bal-Sched_Pay&gt;0),Beg_Bal-Sched_Pay,IF(Pay_Num&lt;&gt;"",0,"")))</f>
        <v>0</v>
      </c>
      <c r="F485" s="70">
        <f>IF(AND(Pay_Num&lt;&gt;"",Sched_Pay+Extra_Pay&lt;Beg_Bal),Sched_Pay+Extra_Pay,IF(Pay_Num&lt;&gt;"",Beg_Bal,""))</f>
        <v>0</v>
      </c>
      <c r="G485" s="70">
        <f>IF(Pay_Num&lt;&gt;"",Total_Pay-Int,"")</f>
        <v>0</v>
      </c>
      <c r="H485" s="70">
        <f>IF(Pay_Num&lt;&gt;"",Beg_Bal*Interest_Rate/Num_Pmt_Per_Year,"")</f>
        <v>0</v>
      </c>
      <c r="I485" s="70">
        <f>IF(AND(Pay_Num&lt;&gt;"",Sched_Pay+Extra_Pay&lt;Beg_Bal),Beg_Bal-Princ,IF(Pay_Num&lt;&gt;"",0,""))</f>
        <v>0</v>
      </c>
      <c r="J485" s="70">
        <f>SUM($H$18:$H485)</f>
        <v>431201.75350020552</v>
      </c>
    </row>
    <row r="486" spans="1:10" x14ac:dyDescent="0.3">
      <c r="A486" s="36">
        <f>IF(Values_Entered,A485+1,"")</f>
        <v>469</v>
      </c>
      <c r="B486" s="35">
        <f>IF(Pay_Num&lt;&gt;"",DATE(YEAR(Loan_Start),MONTH(Loan_Start)+(Pay_Num)*12/Num_Pmt_Per_Year,DAY(Loan_Start)),"")</f>
        <v>89010</v>
      </c>
      <c r="C486" s="70">
        <f>IF(Pay_Num&lt;&gt;"",I485,"")</f>
        <v>0</v>
      </c>
      <c r="D486" s="70">
        <f>IF(Pay_Num&lt;&gt;"",Scheduled_Monthly_Payment,"")</f>
        <v>71560.087675010276</v>
      </c>
      <c r="E486" s="71">
        <f>IF(AND(Pay_Num&lt;&gt;"",Sched_Pay+Scheduled_Extra_Payments&lt;Beg_Bal),Scheduled_Extra_Payments,IF(AND(Pay_Num&lt;&gt;"",Beg_Bal-Sched_Pay&gt;0),Beg_Bal-Sched_Pay,IF(Pay_Num&lt;&gt;"",0,"")))</f>
        <v>0</v>
      </c>
      <c r="F486" s="70">
        <f>IF(AND(Pay_Num&lt;&gt;"",Sched_Pay+Extra_Pay&lt;Beg_Bal),Sched_Pay+Extra_Pay,IF(Pay_Num&lt;&gt;"",Beg_Bal,""))</f>
        <v>0</v>
      </c>
      <c r="G486" s="70">
        <f>IF(Pay_Num&lt;&gt;"",Total_Pay-Int,"")</f>
        <v>0</v>
      </c>
      <c r="H486" s="70">
        <f>IF(Pay_Num&lt;&gt;"",Beg_Bal*Interest_Rate/Num_Pmt_Per_Year,"")</f>
        <v>0</v>
      </c>
      <c r="I486" s="70">
        <f>IF(AND(Pay_Num&lt;&gt;"",Sched_Pay+Extra_Pay&lt;Beg_Bal),Beg_Bal-Princ,IF(Pay_Num&lt;&gt;"",0,""))</f>
        <v>0</v>
      </c>
      <c r="J486" s="70">
        <f>SUM($H$18:$H486)</f>
        <v>431201.75350020552</v>
      </c>
    </row>
    <row r="487" spans="1:10" x14ac:dyDescent="0.3">
      <c r="A487" s="36">
        <f>IF(Values_Entered,A486+1,"")</f>
        <v>470</v>
      </c>
      <c r="B487" s="35">
        <f>IF(Pay_Num&lt;&gt;"",DATE(YEAR(Loan_Start),MONTH(Loan_Start)+(Pay_Num)*12/Num_Pmt_Per_Year,DAY(Loan_Start)),"")</f>
        <v>89101</v>
      </c>
      <c r="C487" s="70">
        <f>IF(Pay_Num&lt;&gt;"",I486,"")</f>
        <v>0</v>
      </c>
      <c r="D487" s="70">
        <f>IF(Pay_Num&lt;&gt;"",Scheduled_Monthly_Payment,"")</f>
        <v>71560.087675010276</v>
      </c>
      <c r="E487" s="71">
        <f>IF(AND(Pay_Num&lt;&gt;"",Sched_Pay+Scheduled_Extra_Payments&lt;Beg_Bal),Scheduled_Extra_Payments,IF(AND(Pay_Num&lt;&gt;"",Beg_Bal-Sched_Pay&gt;0),Beg_Bal-Sched_Pay,IF(Pay_Num&lt;&gt;"",0,"")))</f>
        <v>0</v>
      </c>
      <c r="F487" s="70">
        <f>IF(AND(Pay_Num&lt;&gt;"",Sched_Pay+Extra_Pay&lt;Beg_Bal),Sched_Pay+Extra_Pay,IF(Pay_Num&lt;&gt;"",Beg_Bal,""))</f>
        <v>0</v>
      </c>
      <c r="G487" s="70">
        <f>IF(Pay_Num&lt;&gt;"",Total_Pay-Int,"")</f>
        <v>0</v>
      </c>
      <c r="H487" s="70">
        <f>IF(Pay_Num&lt;&gt;"",Beg_Bal*Interest_Rate/Num_Pmt_Per_Year,"")</f>
        <v>0</v>
      </c>
      <c r="I487" s="70">
        <f>IF(AND(Pay_Num&lt;&gt;"",Sched_Pay+Extra_Pay&lt;Beg_Bal),Beg_Bal-Princ,IF(Pay_Num&lt;&gt;"",0,""))</f>
        <v>0</v>
      </c>
      <c r="J487" s="70">
        <f>SUM($H$18:$H487)</f>
        <v>431201.75350020552</v>
      </c>
    </row>
    <row r="488" spans="1:10" x14ac:dyDescent="0.3">
      <c r="A488" s="36">
        <f>IF(Values_Entered,A487+1,"")</f>
        <v>471</v>
      </c>
      <c r="B488" s="35">
        <f>IF(Pay_Num&lt;&gt;"",DATE(YEAR(Loan_Start),MONTH(Loan_Start)+(Pay_Num)*12/Num_Pmt_Per_Year,DAY(Loan_Start)),"")</f>
        <v>89192</v>
      </c>
      <c r="C488" s="70">
        <f>IF(Pay_Num&lt;&gt;"",I487,"")</f>
        <v>0</v>
      </c>
      <c r="D488" s="70">
        <f>IF(Pay_Num&lt;&gt;"",Scheduled_Monthly_Payment,"")</f>
        <v>71560.087675010276</v>
      </c>
      <c r="E488" s="71">
        <f>IF(AND(Pay_Num&lt;&gt;"",Sched_Pay+Scheduled_Extra_Payments&lt;Beg_Bal),Scheduled_Extra_Payments,IF(AND(Pay_Num&lt;&gt;"",Beg_Bal-Sched_Pay&gt;0),Beg_Bal-Sched_Pay,IF(Pay_Num&lt;&gt;"",0,"")))</f>
        <v>0</v>
      </c>
      <c r="F488" s="70">
        <f>IF(AND(Pay_Num&lt;&gt;"",Sched_Pay+Extra_Pay&lt;Beg_Bal),Sched_Pay+Extra_Pay,IF(Pay_Num&lt;&gt;"",Beg_Bal,""))</f>
        <v>0</v>
      </c>
      <c r="G488" s="70">
        <f>IF(Pay_Num&lt;&gt;"",Total_Pay-Int,"")</f>
        <v>0</v>
      </c>
      <c r="H488" s="70">
        <f>IF(Pay_Num&lt;&gt;"",Beg_Bal*Interest_Rate/Num_Pmt_Per_Year,"")</f>
        <v>0</v>
      </c>
      <c r="I488" s="70">
        <f>IF(AND(Pay_Num&lt;&gt;"",Sched_Pay+Extra_Pay&lt;Beg_Bal),Beg_Bal-Princ,IF(Pay_Num&lt;&gt;"",0,""))</f>
        <v>0</v>
      </c>
      <c r="J488" s="70">
        <f>SUM($H$18:$H488)</f>
        <v>431201.75350020552</v>
      </c>
    </row>
    <row r="489" spans="1:10" x14ac:dyDescent="0.3">
      <c r="A489" s="36">
        <f>IF(Values_Entered,A488+1,"")</f>
        <v>472</v>
      </c>
      <c r="B489" s="35">
        <f>IF(Pay_Num&lt;&gt;"",DATE(YEAR(Loan_Start),MONTH(Loan_Start)+(Pay_Num)*12/Num_Pmt_Per_Year,DAY(Loan_Start)),"")</f>
        <v>89284</v>
      </c>
      <c r="C489" s="70">
        <f>IF(Pay_Num&lt;&gt;"",I488,"")</f>
        <v>0</v>
      </c>
      <c r="D489" s="70">
        <f>IF(Pay_Num&lt;&gt;"",Scheduled_Monthly_Payment,"")</f>
        <v>71560.087675010276</v>
      </c>
      <c r="E489" s="71">
        <f>IF(AND(Pay_Num&lt;&gt;"",Sched_Pay+Scheduled_Extra_Payments&lt;Beg_Bal),Scheduled_Extra_Payments,IF(AND(Pay_Num&lt;&gt;"",Beg_Bal-Sched_Pay&gt;0),Beg_Bal-Sched_Pay,IF(Pay_Num&lt;&gt;"",0,"")))</f>
        <v>0</v>
      </c>
      <c r="F489" s="70">
        <f>IF(AND(Pay_Num&lt;&gt;"",Sched_Pay+Extra_Pay&lt;Beg_Bal),Sched_Pay+Extra_Pay,IF(Pay_Num&lt;&gt;"",Beg_Bal,""))</f>
        <v>0</v>
      </c>
      <c r="G489" s="70">
        <f>IF(Pay_Num&lt;&gt;"",Total_Pay-Int,"")</f>
        <v>0</v>
      </c>
      <c r="H489" s="70">
        <f>IF(Pay_Num&lt;&gt;"",Beg_Bal*Interest_Rate/Num_Pmt_Per_Year,"")</f>
        <v>0</v>
      </c>
      <c r="I489" s="70">
        <f>IF(AND(Pay_Num&lt;&gt;"",Sched_Pay+Extra_Pay&lt;Beg_Bal),Beg_Bal-Princ,IF(Pay_Num&lt;&gt;"",0,""))</f>
        <v>0</v>
      </c>
      <c r="J489" s="70">
        <f>SUM($H$18:$H489)</f>
        <v>431201.75350020552</v>
      </c>
    </row>
    <row r="490" spans="1:10" x14ac:dyDescent="0.3">
      <c r="A490" s="36">
        <f>IF(Values_Entered,A489+1,"")</f>
        <v>473</v>
      </c>
      <c r="B490" s="35">
        <f>IF(Pay_Num&lt;&gt;"",DATE(YEAR(Loan_Start),MONTH(Loan_Start)+(Pay_Num)*12/Num_Pmt_Per_Year,DAY(Loan_Start)),"")</f>
        <v>89376</v>
      </c>
      <c r="C490" s="70">
        <f>IF(Pay_Num&lt;&gt;"",I489,"")</f>
        <v>0</v>
      </c>
      <c r="D490" s="70">
        <f>IF(Pay_Num&lt;&gt;"",Scheduled_Monthly_Payment,"")</f>
        <v>71560.087675010276</v>
      </c>
      <c r="E490" s="71">
        <f>IF(AND(Pay_Num&lt;&gt;"",Sched_Pay+Scheduled_Extra_Payments&lt;Beg_Bal),Scheduled_Extra_Payments,IF(AND(Pay_Num&lt;&gt;"",Beg_Bal-Sched_Pay&gt;0),Beg_Bal-Sched_Pay,IF(Pay_Num&lt;&gt;"",0,"")))</f>
        <v>0</v>
      </c>
      <c r="F490" s="70">
        <f>IF(AND(Pay_Num&lt;&gt;"",Sched_Pay+Extra_Pay&lt;Beg_Bal),Sched_Pay+Extra_Pay,IF(Pay_Num&lt;&gt;"",Beg_Bal,""))</f>
        <v>0</v>
      </c>
      <c r="G490" s="70">
        <f>IF(Pay_Num&lt;&gt;"",Total_Pay-Int,"")</f>
        <v>0</v>
      </c>
      <c r="H490" s="70">
        <f>IF(Pay_Num&lt;&gt;"",Beg_Bal*Interest_Rate/Num_Pmt_Per_Year,"")</f>
        <v>0</v>
      </c>
      <c r="I490" s="70">
        <f>IF(AND(Pay_Num&lt;&gt;"",Sched_Pay+Extra_Pay&lt;Beg_Bal),Beg_Bal-Princ,IF(Pay_Num&lt;&gt;"",0,""))</f>
        <v>0</v>
      </c>
      <c r="J490" s="70">
        <f>SUM($H$18:$H490)</f>
        <v>431201.75350020552</v>
      </c>
    </row>
    <row r="491" spans="1:10" x14ac:dyDescent="0.3">
      <c r="A491" s="36">
        <f>IF(Values_Entered,A490+1,"")</f>
        <v>474</v>
      </c>
      <c r="B491" s="35">
        <f>IF(Pay_Num&lt;&gt;"",DATE(YEAR(Loan_Start),MONTH(Loan_Start)+(Pay_Num)*12/Num_Pmt_Per_Year,DAY(Loan_Start)),"")</f>
        <v>89467</v>
      </c>
      <c r="C491" s="70">
        <f>IF(Pay_Num&lt;&gt;"",I490,"")</f>
        <v>0</v>
      </c>
      <c r="D491" s="70">
        <f>IF(Pay_Num&lt;&gt;"",Scheduled_Monthly_Payment,"")</f>
        <v>71560.087675010276</v>
      </c>
      <c r="E491" s="71">
        <f>IF(AND(Pay_Num&lt;&gt;"",Sched_Pay+Scheduled_Extra_Payments&lt;Beg_Bal),Scheduled_Extra_Payments,IF(AND(Pay_Num&lt;&gt;"",Beg_Bal-Sched_Pay&gt;0),Beg_Bal-Sched_Pay,IF(Pay_Num&lt;&gt;"",0,"")))</f>
        <v>0</v>
      </c>
      <c r="F491" s="70">
        <f>IF(AND(Pay_Num&lt;&gt;"",Sched_Pay+Extra_Pay&lt;Beg_Bal),Sched_Pay+Extra_Pay,IF(Pay_Num&lt;&gt;"",Beg_Bal,""))</f>
        <v>0</v>
      </c>
      <c r="G491" s="70">
        <f>IF(Pay_Num&lt;&gt;"",Total_Pay-Int,"")</f>
        <v>0</v>
      </c>
      <c r="H491" s="70">
        <f>IF(Pay_Num&lt;&gt;"",Beg_Bal*Interest_Rate/Num_Pmt_Per_Year,"")</f>
        <v>0</v>
      </c>
      <c r="I491" s="70">
        <f>IF(AND(Pay_Num&lt;&gt;"",Sched_Pay+Extra_Pay&lt;Beg_Bal),Beg_Bal-Princ,IF(Pay_Num&lt;&gt;"",0,""))</f>
        <v>0</v>
      </c>
      <c r="J491" s="70">
        <f>SUM($H$18:$H491)</f>
        <v>431201.75350020552</v>
      </c>
    </row>
    <row r="492" spans="1:10" x14ac:dyDescent="0.3">
      <c r="A492" s="36">
        <f>IF(Values_Entered,A491+1,"")</f>
        <v>475</v>
      </c>
      <c r="B492" s="35">
        <f>IF(Pay_Num&lt;&gt;"",DATE(YEAR(Loan_Start),MONTH(Loan_Start)+(Pay_Num)*12/Num_Pmt_Per_Year,DAY(Loan_Start)),"")</f>
        <v>89557</v>
      </c>
      <c r="C492" s="70">
        <f>IF(Pay_Num&lt;&gt;"",I491,"")</f>
        <v>0</v>
      </c>
      <c r="D492" s="70">
        <f>IF(Pay_Num&lt;&gt;"",Scheduled_Monthly_Payment,"")</f>
        <v>71560.087675010276</v>
      </c>
      <c r="E492" s="71">
        <f>IF(AND(Pay_Num&lt;&gt;"",Sched_Pay+Scheduled_Extra_Payments&lt;Beg_Bal),Scheduled_Extra_Payments,IF(AND(Pay_Num&lt;&gt;"",Beg_Bal-Sched_Pay&gt;0),Beg_Bal-Sched_Pay,IF(Pay_Num&lt;&gt;"",0,"")))</f>
        <v>0</v>
      </c>
      <c r="F492" s="70">
        <f>IF(AND(Pay_Num&lt;&gt;"",Sched_Pay+Extra_Pay&lt;Beg_Bal),Sched_Pay+Extra_Pay,IF(Pay_Num&lt;&gt;"",Beg_Bal,""))</f>
        <v>0</v>
      </c>
      <c r="G492" s="70">
        <f>IF(Pay_Num&lt;&gt;"",Total_Pay-Int,"")</f>
        <v>0</v>
      </c>
      <c r="H492" s="70">
        <f>IF(Pay_Num&lt;&gt;"",Beg_Bal*Interest_Rate/Num_Pmt_Per_Year,"")</f>
        <v>0</v>
      </c>
      <c r="I492" s="70">
        <f>IF(AND(Pay_Num&lt;&gt;"",Sched_Pay+Extra_Pay&lt;Beg_Bal),Beg_Bal-Princ,IF(Pay_Num&lt;&gt;"",0,""))</f>
        <v>0</v>
      </c>
      <c r="J492" s="70">
        <f>SUM($H$18:$H492)</f>
        <v>431201.75350020552</v>
      </c>
    </row>
    <row r="493" spans="1:10" x14ac:dyDescent="0.3">
      <c r="A493" s="36">
        <f>IF(Values_Entered,A492+1,"")</f>
        <v>476</v>
      </c>
      <c r="B493" s="35">
        <f>IF(Pay_Num&lt;&gt;"",DATE(YEAR(Loan_Start),MONTH(Loan_Start)+(Pay_Num)*12/Num_Pmt_Per_Year,DAY(Loan_Start)),"")</f>
        <v>89649</v>
      </c>
      <c r="C493" s="70">
        <f>IF(Pay_Num&lt;&gt;"",I492,"")</f>
        <v>0</v>
      </c>
      <c r="D493" s="70">
        <f>IF(Pay_Num&lt;&gt;"",Scheduled_Monthly_Payment,"")</f>
        <v>71560.087675010276</v>
      </c>
      <c r="E493" s="71">
        <f>IF(AND(Pay_Num&lt;&gt;"",Sched_Pay+Scheduled_Extra_Payments&lt;Beg_Bal),Scheduled_Extra_Payments,IF(AND(Pay_Num&lt;&gt;"",Beg_Bal-Sched_Pay&gt;0),Beg_Bal-Sched_Pay,IF(Pay_Num&lt;&gt;"",0,"")))</f>
        <v>0</v>
      </c>
      <c r="F493" s="70">
        <f>IF(AND(Pay_Num&lt;&gt;"",Sched_Pay+Extra_Pay&lt;Beg_Bal),Sched_Pay+Extra_Pay,IF(Pay_Num&lt;&gt;"",Beg_Bal,""))</f>
        <v>0</v>
      </c>
      <c r="G493" s="70">
        <f>IF(Pay_Num&lt;&gt;"",Total_Pay-Int,"")</f>
        <v>0</v>
      </c>
      <c r="H493" s="70">
        <f>IF(Pay_Num&lt;&gt;"",Beg_Bal*Interest_Rate/Num_Pmt_Per_Year,"")</f>
        <v>0</v>
      </c>
      <c r="I493" s="70">
        <f>IF(AND(Pay_Num&lt;&gt;"",Sched_Pay+Extra_Pay&lt;Beg_Bal),Beg_Bal-Princ,IF(Pay_Num&lt;&gt;"",0,""))</f>
        <v>0</v>
      </c>
      <c r="J493" s="70">
        <f>SUM($H$18:$H493)</f>
        <v>431201.75350020552</v>
      </c>
    </row>
    <row r="494" spans="1:10" x14ac:dyDescent="0.3">
      <c r="A494" s="36">
        <f>IF(Values_Entered,A493+1,"")</f>
        <v>477</v>
      </c>
      <c r="B494" s="35">
        <f>IF(Pay_Num&lt;&gt;"",DATE(YEAR(Loan_Start),MONTH(Loan_Start)+(Pay_Num)*12/Num_Pmt_Per_Year,DAY(Loan_Start)),"")</f>
        <v>89741</v>
      </c>
      <c r="C494" s="70">
        <f>IF(Pay_Num&lt;&gt;"",I493,"")</f>
        <v>0</v>
      </c>
      <c r="D494" s="70">
        <f>IF(Pay_Num&lt;&gt;"",Scheduled_Monthly_Payment,"")</f>
        <v>71560.087675010276</v>
      </c>
      <c r="E494" s="71">
        <f>IF(AND(Pay_Num&lt;&gt;"",Sched_Pay+Scheduled_Extra_Payments&lt;Beg_Bal),Scheduled_Extra_Payments,IF(AND(Pay_Num&lt;&gt;"",Beg_Bal-Sched_Pay&gt;0),Beg_Bal-Sched_Pay,IF(Pay_Num&lt;&gt;"",0,"")))</f>
        <v>0</v>
      </c>
      <c r="F494" s="70">
        <f>IF(AND(Pay_Num&lt;&gt;"",Sched_Pay+Extra_Pay&lt;Beg_Bal),Sched_Pay+Extra_Pay,IF(Pay_Num&lt;&gt;"",Beg_Bal,""))</f>
        <v>0</v>
      </c>
      <c r="G494" s="70">
        <f>IF(Pay_Num&lt;&gt;"",Total_Pay-Int,"")</f>
        <v>0</v>
      </c>
      <c r="H494" s="70">
        <f>IF(Pay_Num&lt;&gt;"",Beg_Bal*Interest_Rate/Num_Pmt_Per_Year,"")</f>
        <v>0</v>
      </c>
      <c r="I494" s="70">
        <f>IF(AND(Pay_Num&lt;&gt;"",Sched_Pay+Extra_Pay&lt;Beg_Bal),Beg_Bal-Princ,IF(Pay_Num&lt;&gt;"",0,""))</f>
        <v>0</v>
      </c>
      <c r="J494" s="70">
        <f>SUM($H$18:$H494)</f>
        <v>431201.75350020552</v>
      </c>
    </row>
    <row r="495" spans="1:10" x14ac:dyDescent="0.3">
      <c r="A495" s="36">
        <f>IF(Values_Entered,A494+1,"")</f>
        <v>478</v>
      </c>
      <c r="B495" s="35">
        <f>IF(Pay_Num&lt;&gt;"",DATE(YEAR(Loan_Start),MONTH(Loan_Start)+(Pay_Num)*12/Num_Pmt_Per_Year,DAY(Loan_Start)),"")</f>
        <v>89832</v>
      </c>
      <c r="C495" s="70">
        <f>IF(Pay_Num&lt;&gt;"",I494,"")</f>
        <v>0</v>
      </c>
      <c r="D495" s="70">
        <f>IF(Pay_Num&lt;&gt;"",Scheduled_Monthly_Payment,"")</f>
        <v>71560.087675010276</v>
      </c>
      <c r="E495" s="71">
        <f>IF(AND(Pay_Num&lt;&gt;"",Sched_Pay+Scheduled_Extra_Payments&lt;Beg_Bal),Scheduled_Extra_Payments,IF(AND(Pay_Num&lt;&gt;"",Beg_Bal-Sched_Pay&gt;0),Beg_Bal-Sched_Pay,IF(Pay_Num&lt;&gt;"",0,"")))</f>
        <v>0</v>
      </c>
      <c r="F495" s="70">
        <f>IF(AND(Pay_Num&lt;&gt;"",Sched_Pay+Extra_Pay&lt;Beg_Bal),Sched_Pay+Extra_Pay,IF(Pay_Num&lt;&gt;"",Beg_Bal,""))</f>
        <v>0</v>
      </c>
      <c r="G495" s="70">
        <f>IF(Pay_Num&lt;&gt;"",Total_Pay-Int,"")</f>
        <v>0</v>
      </c>
      <c r="H495" s="70">
        <f>IF(Pay_Num&lt;&gt;"",Beg_Bal*Interest_Rate/Num_Pmt_Per_Year,"")</f>
        <v>0</v>
      </c>
      <c r="I495" s="70">
        <f>IF(AND(Pay_Num&lt;&gt;"",Sched_Pay+Extra_Pay&lt;Beg_Bal),Beg_Bal-Princ,IF(Pay_Num&lt;&gt;"",0,""))</f>
        <v>0</v>
      </c>
      <c r="J495" s="70">
        <f>SUM($H$18:$H495)</f>
        <v>431201.75350020552</v>
      </c>
    </row>
    <row r="496" spans="1:10" x14ac:dyDescent="0.3">
      <c r="A496" s="36">
        <f>IF(Values_Entered,A495+1,"")</f>
        <v>479</v>
      </c>
      <c r="B496" s="35">
        <f>IF(Pay_Num&lt;&gt;"",DATE(YEAR(Loan_Start),MONTH(Loan_Start)+(Pay_Num)*12/Num_Pmt_Per_Year,DAY(Loan_Start)),"")</f>
        <v>89922</v>
      </c>
      <c r="C496" s="70">
        <f>IF(Pay_Num&lt;&gt;"",I495,"")</f>
        <v>0</v>
      </c>
      <c r="D496" s="70">
        <f>IF(Pay_Num&lt;&gt;"",Scheduled_Monthly_Payment,"")</f>
        <v>71560.087675010276</v>
      </c>
      <c r="E496" s="71">
        <f>IF(AND(Pay_Num&lt;&gt;"",Sched_Pay+Scheduled_Extra_Payments&lt;Beg_Bal),Scheduled_Extra_Payments,IF(AND(Pay_Num&lt;&gt;"",Beg_Bal-Sched_Pay&gt;0),Beg_Bal-Sched_Pay,IF(Pay_Num&lt;&gt;"",0,"")))</f>
        <v>0</v>
      </c>
      <c r="F496" s="70">
        <f>IF(AND(Pay_Num&lt;&gt;"",Sched_Pay+Extra_Pay&lt;Beg_Bal),Sched_Pay+Extra_Pay,IF(Pay_Num&lt;&gt;"",Beg_Bal,""))</f>
        <v>0</v>
      </c>
      <c r="G496" s="70">
        <f>IF(Pay_Num&lt;&gt;"",Total_Pay-Int,"")</f>
        <v>0</v>
      </c>
      <c r="H496" s="70">
        <f>IF(Pay_Num&lt;&gt;"",Beg_Bal*Interest_Rate/Num_Pmt_Per_Year,"")</f>
        <v>0</v>
      </c>
      <c r="I496" s="70">
        <f>IF(AND(Pay_Num&lt;&gt;"",Sched_Pay+Extra_Pay&lt;Beg_Bal),Beg_Bal-Princ,IF(Pay_Num&lt;&gt;"",0,""))</f>
        <v>0</v>
      </c>
      <c r="J496" s="70">
        <f>SUM($H$18:$H496)</f>
        <v>431201.75350020552</v>
      </c>
    </row>
    <row r="497" spans="1:10" x14ac:dyDescent="0.3">
      <c r="A497" s="36">
        <f>IF(Values_Entered,A496+1,"")</f>
        <v>480</v>
      </c>
      <c r="B497" s="35">
        <f>IF(Pay_Num&lt;&gt;"",DATE(YEAR(Loan_Start),MONTH(Loan_Start)+(Pay_Num)*12/Num_Pmt_Per_Year,DAY(Loan_Start)),"")</f>
        <v>90014</v>
      </c>
      <c r="C497" s="70">
        <f>IF(Pay_Num&lt;&gt;"",I496,"")</f>
        <v>0</v>
      </c>
      <c r="D497" s="70">
        <f>IF(Pay_Num&lt;&gt;"",Scheduled_Monthly_Payment,"")</f>
        <v>71560.087675010276</v>
      </c>
      <c r="E497" s="71">
        <f>IF(AND(Pay_Num&lt;&gt;"",Sched_Pay+Scheduled_Extra_Payments&lt;Beg_Bal),Scheduled_Extra_Payments,IF(AND(Pay_Num&lt;&gt;"",Beg_Bal-Sched_Pay&gt;0),Beg_Bal-Sched_Pay,IF(Pay_Num&lt;&gt;"",0,"")))</f>
        <v>0</v>
      </c>
      <c r="F497" s="70">
        <f>IF(AND(Pay_Num&lt;&gt;"",Sched_Pay+Extra_Pay&lt;Beg_Bal),Sched_Pay+Extra_Pay,IF(Pay_Num&lt;&gt;"",Beg_Bal,""))</f>
        <v>0</v>
      </c>
      <c r="G497" s="70">
        <f>IF(Pay_Num&lt;&gt;"",Total_Pay-Int,"")</f>
        <v>0</v>
      </c>
      <c r="H497" s="70">
        <f>IF(Pay_Num&lt;&gt;"",Beg_Bal*Interest_Rate/Num_Pmt_Per_Year,"")</f>
        <v>0</v>
      </c>
      <c r="I497" s="70">
        <f>IF(AND(Pay_Num&lt;&gt;"",Sched_Pay+Extra_Pay&lt;Beg_Bal),Beg_Bal-Princ,IF(Pay_Num&lt;&gt;"",0,""))</f>
        <v>0</v>
      </c>
      <c r="J497" s="70">
        <f>SUM($H$18:$H497)</f>
        <v>431201.75350020552</v>
      </c>
    </row>
  </sheetData>
  <sheetProtection sheet="1" objects="1" scenarios="1" selectLockedCells="1"/>
  <mergeCells count="3">
    <mergeCell ref="C12:D12"/>
    <mergeCell ref="B4:D4"/>
    <mergeCell ref="H4:J4"/>
  </mergeCells>
  <conditionalFormatting sqref="A18:E497">
    <cfRule type="expression" dxfId="3" priority="3" stopIfTrue="1">
      <formula>IF(ROW(A18)&lt;Last_Row,TRUE, FALSE)</formula>
    </cfRule>
  </conditionalFormatting>
  <conditionalFormatting sqref="A18:J497">
    <cfRule type="expression" dxfId="2" priority="1" stopIfTrue="1">
      <formula>IF(ROW(A18)&gt;Last_Row,TRUE, FALSE)</formula>
    </cfRule>
    <cfRule type="expression" dxfId="1" priority="2" stopIfTrue="1">
      <formula>IF(ROW(A18)=Last_Row,TRUE, FALSE)</formula>
    </cfRule>
  </conditionalFormatting>
  <conditionalFormatting sqref="F18:J497">
    <cfRule type="expression" dxfId="0" priority="4" stopIfTrue="1">
      <formula>IF(ROW(F18)&lt;=Last_Row,TRUE, FALSE)</formula>
    </cfRule>
  </conditionalFormatting>
  <dataValidations count="3">
    <dataValidation allowBlank="1" showInputMessage="1" showErrorMessage="1" promptTitle="Extra Payments" prompt="Enter an amount here if you want to make additional principal payments every pay period._x000a__x000a_For occasional extra payments, enter the extra principal amounts directly in the 'Extra Payment' column below." sqref="D10" xr:uid="{00000000-0002-0000-0000-000002000000}"/>
    <dataValidation type="date" operator="greaterThanOrEqual" allowBlank="1" showInputMessage="1" showErrorMessage="1" errorTitle="Date" error="Please enter a valid date greater than or equal to January 1, 1900." sqref="D9" xr:uid="{00000000-0002-0000-0000-000001000000}">
      <formula1>1</formula1>
    </dataValidation>
    <dataValidation type="whole" allowBlank="1" showInputMessage="1" showErrorMessage="1" errorTitle="Years" error="Please enter a whole number of years from 1 to 40." sqref="D7" xr:uid="{00000000-0002-0000-0000-000000000000}">
      <formula1>1</formula1>
      <formula2>40</formula2>
    </dataValidation>
  </dataValidations>
  <pageMargins left="0.5" right="0.5" top="0.5" bottom="0.5" header="0.5" footer="0.5"/>
  <pageSetup scale="8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0"/>
  <sheetViews>
    <sheetView zoomScale="145" zoomScaleNormal="145" workbookViewId="0">
      <pane ySplit="3" topLeftCell="A4" activePane="bottomLeft" state="frozen"/>
      <selection pane="bottomLeft" activeCell="F6" sqref="F6"/>
    </sheetView>
  </sheetViews>
  <sheetFormatPr defaultRowHeight="14.4" x14ac:dyDescent="0.3"/>
  <cols>
    <col min="1" max="1" width="16" customWidth="1"/>
    <col min="2" max="4" width="14" customWidth="1"/>
    <col min="5" max="5" width="18" customWidth="1"/>
    <col min="6" max="6" width="23.21875" bestFit="1" customWidth="1"/>
    <col min="7" max="7" width="20" customWidth="1"/>
    <col min="8" max="8" width="18" customWidth="1"/>
    <col min="9" max="9" width="30" customWidth="1"/>
    <col min="10" max="10" width="28" customWidth="1"/>
    <col min="11" max="11" width="24" customWidth="1"/>
  </cols>
  <sheetData>
    <row r="1" spans="1:15" ht="24" customHeight="1" x14ac:dyDescent="0.3">
      <c r="A1" s="25" t="s">
        <v>736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3" spans="1:15" x14ac:dyDescent="0.3">
      <c r="A3" s="22" t="s">
        <v>737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5" x14ac:dyDescent="0.3">
      <c r="A4" s="72" t="s">
        <v>113</v>
      </c>
      <c r="B4" s="72" t="s">
        <v>29</v>
      </c>
      <c r="C4" s="72" t="s">
        <v>31</v>
      </c>
      <c r="D4" s="73" t="s">
        <v>738</v>
      </c>
      <c r="F4" s="79"/>
      <c r="G4" s="68"/>
      <c r="H4" s="68"/>
      <c r="I4" s="16" t="s">
        <v>739</v>
      </c>
      <c r="J4" s="17">
        <v>3</v>
      </c>
    </row>
    <row r="5" spans="1:15" ht="43.2" x14ac:dyDescent="0.3">
      <c r="A5" s="74" t="s">
        <v>116</v>
      </c>
      <c r="B5" s="74" t="s">
        <v>35</v>
      </c>
      <c r="C5" s="74">
        <v>1200</v>
      </c>
      <c r="D5" s="75">
        <v>100</v>
      </c>
      <c r="E5" cm="1">
        <f t="array" ref="E5:E7">_xlfn.SEQUENCE(COUNTA(F5:F7))</f>
        <v>1</v>
      </c>
      <c r="F5" s="80" t="s">
        <v>1063</v>
      </c>
      <c r="G5" s="82"/>
      <c r="H5" s="69"/>
    </row>
    <row r="6" spans="1:15" x14ac:dyDescent="0.3">
      <c r="A6" s="76" t="s">
        <v>117</v>
      </c>
      <c r="B6" s="76" t="s">
        <v>39</v>
      </c>
      <c r="C6" s="76">
        <v>800</v>
      </c>
      <c r="D6" s="77">
        <v>105</v>
      </c>
      <c r="E6">
        <v>2</v>
      </c>
      <c r="F6" s="81" t="s">
        <v>1062</v>
      </c>
      <c r="G6" s="82"/>
      <c r="H6" s="69"/>
    </row>
    <row r="7" spans="1:15" x14ac:dyDescent="0.3">
      <c r="A7" s="74" t="s">
        <v>116</v>
      </c>
      <c r="B7" s="74" t="s">
        <v>35</v>
      </c>
      <c r="C7" s="74">
        <v>1500</v>
      </c>
      <c r="D7" s="75">
        <v>110</v>
      </c>
      <c r="E7">
        <v>3</v>
      </c>
      <c r="F7" s="81" t="s">
        <v>1035</v>
      </c>
      <c r="G7" s="82"/>
      <c r="H7" s="69"/>
    </row>
    <row r="8" spans="1:15" x14ac:dyDescent="0.3">
      <c r="A8" s="76" t="s">
        <v>119</v>
      </c>
      <c r="B8" s="76" t="s">
        <v>43</v>
      </c>
      <c r="C8" s="76">
        <v>600</v>
      </c>
      <c r="D8" s="77">
        <v>108</v>
      </c>
    </row>
    <row r="9" spans="1:15" x14ac:dyDescent="0.3">
      <c r="A9" s="74" t="s">
        <v>120</v>
      </c>
      <c r="B9" s="74" t="s">
        <v>39</v>
      </c>
      <c r="C9" s="74">
        <v>2100</v>
      </c>
      <c r="D9" s="75">
        <v>115</v>
      </c>
    </row>
    <row r="10" spans="1:15" x14ac:dyDescent="0.3">
      <c r="A10" s="76" t="s">
        <v>641</v>
      </c>
      <c r="B10" s="76" t="s">
        <v>35</v>
      </c>
      <c r="C10" s="76">
        <v>950</v>
      </c>
      <c r="D10" s="77">
        <v>112</v>
      </c>
    </row>
    <row r="11" spans="1:15" x14ac:dyDescent="0.3">
      <c r="A11" s="78" t="s">
        <v>121</v>
      </c>
      <c r="B11" s="78" t="s">
        <v>17</v>
      </c>
      <c r="C11" s="78" t="s">
        <v>122</v>
      </c>
      <c r="D11" s="1" t="s">
        <v>4</v>
      </c>
      <c r="E11" s="1" t="s">
        <v>123</v>
      </c>
      <c r="F11" s="1" t="s">
        <v>124</v>
      </c>
      <c r="G11" s="1" t="s">
        <v>53</v>
      </c>
      <c r="H11" s="1" t="s">
        <v>125</v>
      </c>
      <c r="I11" s="1" t="s">
        <v>126</v>
      </c>
      <c r="J11" s="1" t="s">
        <v>127</v>
      </c>
      <c r="K11" s="1" t="s">
        <v>55</v>
      </c>
    </row>
    <row r="12" spans="1:15" ht="43.2" x14ac:dyDescent="0.3">
      <c r="A12" s="2" t="s">
        <v>740</v>
      </c>
      <c r="B12" s="12" t="s">
        <v>23</v>
      </c>
      <c r="C12" s="2" t="s">
        <v>741</v>
      </c>
      <c r="D12" s="2" t="s">
        <v>742</v>
      </c>
      <c r="E12" s="2" t="s">
        <v>743</v>
      </c>
      <c r="F12" s="9" t="s">
        <v>744</v>
      </c>
      <c r="G12" s="10"/>
      <c r="H12" s="10" t="s">
        <v>745</v>
      </c>
      <c r="I12" s="2" t="s">
        <v>746</v>
      </c>
      <c r="J12" s="2" t="s">
        <v>747</v>
      </c>
      <c r="K12" s="2" t="s">
        <v>748</v>
      </c>
      <c r="N12" cm="1">
        <f t="array" aca="1" ref="N12:O14" ca="1">_xlfn.RANDARRAY(3,2,1,100,TRUE)</f>
        <v>28</v>
      </c>
      <c r="O12">
        <f ca="1"/>
        <v>17</v>
      </c>
    </row>
    <row r="13" spans="1:15" ht="43.2" x14ac:dyDescent="0.3">
      <c r="A13" s="2" t="s">
        <v>740</v>
      </c>
      <c r="B13" s="12" t="s">
        <v>23</v>
      </c>
      <c r="C13" s="2" t="s">
        <v>749</v>
      </c>
      <c r="D13" s="2" t="s">
        <v>750</v>
      </c>
      <c r="E13" s="2" t="s">
        <v>751</v>
      </c>
      <c r="F13" s="9" t="s">
        <v>752</v>
      </c>
      <c r="G13" s="10"/>
      <c r="H13" s="10" t="s">
        <v>753</v>
      </c>
      <c r="I13" s="2" t="s">
        <v>754</v>
      </c>
      <c r="J13" s="2" t="s">
        <v>755</v>
      </c>
      <c r="K13" s="2" t="s">
        <v>756</v>
      </c>
      <c r="N13">
        <f ca="1"/>
        <v>13</v>
      </c>
      <c r="O13">
        <f ca="1"/>
        <v>71</v>
      </c>
    </row>
    <row r="14" spans="1:15" ht="43.2" x14ac:dyDescent="0.3">
      <c r="A14" s="2" t="s">
        <v>740</v>
      </c>
      <c r="B14" s="12" t="s">
        <v>23</v>
      </c>
      <c r="C14" s="2" t="s">
        <v>757</v>
      </c>
      <c r="D14" s="2" t="s">
        <v>758</v>
      </c>
      <c r="E14" s="2" t="s">
        <v>759</v>
      </c>
      <c r="F14" s="9" t="s">
        <v>760</v>
      </c>
      <c r="G14" s="10" t="e" cm="1" vm="1">
        <f t="array" aca="1" ref="G14" ca="1">_xlfn.SORTBY(A5:D11,C5:C11,-1)</f>
        <v>#VALUE!</v>
      </c>
      <c r="H14" s="10" t="s">
        <v>761</v>
      </c>
      <c r="I14" s="2" t="s">
        <v>762</v>
      </c>
      <c r="J14" s="2" t="s">
        <v>763</v>
      </c>
      <c r="K14" s="2" t="s">
        <v>764</v>
      </c>
      <c r="N14">
        <f ca="1"/>
        <v>44</v>
      </c>
      <c r="O14">
        <f ca="1"/>
        <v>15</v>
      </c>
    </row>
    <row r="15" spans="1:15" ht="28.8" x14ac:dyDescent="0.3">
      <c r="A15" s="2" t="s">
        <v>740</v>
      </c>
      <c r="B15" s="12" t="s">
        <v>23</v>
      </c>
      <c r="C15" s="2" t="s">
        <v>765</v>
      </c>
      <c r="D15" s="2" t="s">
        <v>766</v>
      </c>
      <c r="E15" s="2" t="s">
        <v>767</v>
      </c>
      <c r="F15" s="9" t="s">
        <v>768</v>
      </c>
      <c r="G15" s="10" t="e" cm="1" vm="2">
        <f t="array" aca="1" ref="G15" ca="1">_xlfn.UNIQUE(B5:B11)</f>
        <v>#VALUE!</v>
      </c>
      <c r="H15" s="10" t="s">
        <v>769</v>
      </c>
      <c r="I15" s="2" t="s">
        <v>770</v>
      </c>
      <c r="J15" s="2" t="s">
        <v>771</v>
      </c>
      <c r="K15" s="2" t="s">
        <v>772</v>
      </c>
    </row>
    <row r="16" spans="1:15" ht="43.2" x14ac:dyDescent="0.3">
      <c r="A16" s="2" t="s">
        <v>740</v>
      </c>
      <c r="B16" s="12" t="s">
        <v>23</v>
      </c>
      <c r="C16" s="2" t="s">
        <v>773</v>
      </c>
      <c r="D16" s="2" t="s">
        <v>774</v>
      </c>
      <c r="E16" s="2" t="s">
        <v>775</v>
      </c>
      <c r="F16" s="9" t="s">
        <v>776</v>
      </c>
      <c r="G16" s="10" t="e" cm="1" vm="3">
        <f t="array" aca="1" ref="G16" ca="1">_xlfn.SEQUENCE(5,1,1,1)</f>
        <v>#VALUE!</v>
      </c>
      <c r="H16" s="10" t="s">
        <v>777</v>
      </c>
      <c r="I16" s="2" t="s">
        <v>778</v>
      </c>
      <c r="J16" s="2" t="s">
        <v>779</v>
      </c>
      <c r="K16" s="2" t="s">
        <v>780</v>
      </c>
    </row>
    <row r="17" spans="1:11" ht="43.2" x14ac:dyDescent="0.3">
      <c r="A17" s="2" t="s">
        <v>740</v>
      </c>
      <c r="B17" s="12" t="s">
        <v>23</v>
      </c>
      <c r="C17" s="2" t="s">
        <v>781</v>
      </c>
      <c r="D17" s="2" t="s">
        <v>782</v>
      </c>
      <c r="E17" s="2" t="s">
        <v>783</v>
      </c>
      <c r="F17" s="9" t="s">
        <v>784</v>
      </c>
      <c r="G17" s="10" t="e" cm="1" vm="4">
        <f t="array" aca="1" ref="G17" ca="1">_xlfn.RANDARRAY(3,2,1,100,TRUE)</f>
        <v>#VALUE!</v>
      </c>
      <c r="H17" s="10" t="s">
        <v>785</v>
      </c>
      <c r="I17" s="2" t="s">
        <v>786</v>
      </c>
      <c r="J17" s="2" t="s">
        <v>787</v>
      </c>
      <c r="K17" s="2" t="s">
        <v>788</v>
      </c>
    </row>
    <row r="18" spans="1:11" ht="43.2" x14ac:dyDescent="0.3">
      <c r="A18" s="2" t="s">
        <v>740</v>
      </c>
      <c r="B18" s="12" t="s">
        <v>23</v>
      </c>
      <c r="C18" s="2" t="s">
        <v>789</v>
      </c>
      <c r="D18" s="2" t="s">
        <v>790</v>
      </c>
      <c r="E18" s="2" t="s">
        <v>791</v>
      </c>
      <c r="F18" s="9" t="s">
        <v>792</v>
      </c>
      <c r="G18" s="10">
        <f>_xlfn.LET(_xlpm.qty,12,_xlpm.rate,125,_xlpm.qty*_xlpm.rate)</f>
        <v>1500</v>
      </c>
      <c r="H18" s="10" t="s">
        <v>655</v>
      </c>
      <c r="I18" s="2" t="s">
        <v>793</v>
      </c>
      <c r="J18" s="2" t="s">
        <v>794</v>
      </c>
      <c r="K18" s="2" t="s">
        <v>795</v>
      </c>
    </row>
    <row r="19" spans="1:11" ht="28.8" x14ac:dyDescent="0.3">
      <c r="A19" s="2" t="s">
        <v>740</v>
      </c>
      <c r="B19" s="12" t="s">
        <v>23</v>
      </c>
      <c r="C19" s="2" t="s">
        <v>796</v>
      </c>
      <c r="D19" s="2" t="s">
        <v>797</v>
      </c>
      <c r="E19" s="2" t="s">
        <v>798</v>
      </c>
      <c r="F19" s="9" t="s">
        <v>799</v>
      </c>
      <c r="G19" s="10">
        <f>_xlfn.LAMBDA(_xlpm.qty,_xlpm.price,_xlpm.qty*_xlpm.price)(10,125)</f>
        <v>1250</v>
      </c>
      <c r="H19" s="10" t="s">
        <v>219</v>
      </c>
      <c r="I19" s="2" t="s">
        <v>800</v>
      </c>
      <c r="J19" s="2" t="s">
        <v>801</v>
      </c>
      <c r="K19" s="2" t="s">
        <v>802</v>
      </c>
    </row>
    <row r="20" spans="1:11" ht="43.2" x14ac:dyDescent="0.3">
      <c r="A20" s="2" t="s">
        <v>740</v>
      </c>
      <c r="B20" s="12" t="s">
        <v>23</v>
      </c>
      <c r="C20" s="2" t="s">
        <v>803</v>
      </c>
      <c r="D20" s="2" t="s">
        <v>804</v>
      </c>
      <c r="E20" s="2" t="s">
        <v>805</v>
      </c>
      <c r="F20" s="9" t="s">
        <v>806</v>
      </c>
      <c r="G20" s="10" t="e" cm="1" vm="5">
        <f t="array" aca="1" ref="G20" ca="1">_xlfn.MAP(C5:C11,_xlfn.LAMBDA(_xlpm.x,_xlpm.x*1.1))</f>
        <v>#VALUE!</v>
      </c>
      <c r="H20" s="10" t="s">
        <v>807</v>
      </c>
      <c r="I20" s="2" t="s">
        <v>808</v>
      </c>
      <c r="J20" s="2" t="s">
        <v>809</v>
      </c>
      <c r="K20" s="2" t="s">
        <v>810</v>
      </c>
    </row>
    <row r="21" spans="1:11" ht="28.8" x14ac:dyDescent="0.3">
      <c r="A21" s="2" t="s">
        <v>740</v>
      </c>
      <c r="B21" s="12" t="s">
        <v>23</v>
      </c>
      <c r="C21" s="2" t="s">
        <v>811</v>
      </c>
      <c r="D21" s="2" t="s">
        <v>812</v>
      </c>
      <c r="E21" s="2" t="s">
        <v>813</v>
      </c>
      <c r="F21" s="9" t="s">
        <v>814</v>
      </c>
      <c r="G21" s="10"/>
      <c r="H21" s="10" t="s">
        <v>815</v>
      </c>
      <c r="I21" s="2" t="s">
        <v>816</v>
      </c>
      <c r="J21" s="2" t="s">
        <v>817</v>
      </c>
      <c r="K21" s="2" t="s">
        <v>818</v>
      </c>
    </row>
    <row r="22" spans="1:11" ht="43.2" x14ac:dyDescent="0.3">
      <c r="A22" s="2" t="s">
        <v>740</v>
      </c>
      <c r="B22" s="12" t="s">
        <v>23</v>
      </c>
      <c r="C22" s="2" t="s">
        <v>819</v>
      </c>
      <c r="D22" s="2" t="s">
        <v>820</v>
      </c>
      <c r="E22" s="2" t="s">
        <v>821</v>
      </c>
      <c r="F22" s="9" t="s">
        <v>822</v>
      </c>
      <c r="G22" s="10"/>
      <c r="H22" s="10" t="s">
        <v>823</v>
      </c>
      <c r="I22" s="2" t="s">
        <v>824</v>
      </c>
      <c r="J22" s="2" t="s">
        <v>825</v>
      </c>
      <c r="K22" s="2" t="s">
        <v>826</v>
      </c>
    </row>
    <row r="23" spans="1:11" ht="43.2" x14ac:dyDescent="0.3">
      <c r="A23" s="2" t="s">
        <v>740</v>
      </c>
      <c r="B23" s="12" t="s">
        <v>23</v>
      </c>
      <c r="C23" s="2" t="s">
        <v>827</v>
      </c>
      <c r="D23" s="2" t="s">
        <v>828</v>
      </c>
      <c r="E23" s="2" t="s">
        <v>829</v>
      </c>
      <c r="F23" s="9" t="s">
        <v>830</v>
      </c>
      <c r="G23" s="10" t="e">
        <f ca="1">_xludf.SCAN(0,C5:C11,_xludf.LAMBDA(a,v,a+v))</f>
        <v>#NAME?</v>
      </c>
      <c r="H23" s="10" t="s">
        <v>831</v>
      </c>
      <c r="I23" s="2" t="s">
        <v>832</v>
      </c>
      <c r="J23" s="2" t="s">
        <v>833</v>
      </c>
      <c r="K23" s="2" t="s">
        <v>834</v>
      </c>
    </row>
    <row r="24" spans="1:11" ht="57.6" x14ac:dyDescent="0.3">
      <c r="A24" s="2" t="s">
        <v>740</v>
      </c>
      <c r="B24" s="12" t="s">
        <v>23</v>
      </c>
      <c r="C24" s="2" t="s">
        <v>835</v>
      </c>
      <c r="D24" s="2" t="s">
        <v>836</v>
      </c>
      <c r="E24" s="2" t="s">
        <v>837</v>
      </c>
      <c r="F24" s="9" t="s">
        <v>838</v>
      </c>
      <c r="G24" s="10" t="e" cm="1">
        <f t="array" ref="G24">_xlfn.REDUCE(0,C5:C11,_xlfn.LAMBDA(_xlpm.a,_xlpm.v,_xlpm.a+_xlpm.v))</f>
        <v>#VALUE!</v>
      </c>
      <c r="H24" s="10" t="s">
        <v>839</v>
      </c>
      <c r="I24" s="2" t="s">
        <v>840</v>
      </c>
      <c r="J24" s="2" t="s">
        <v>841</v>
      </c>
      <c r="K24" s="2" t="s">
        <v>842</v>
      </c>
    </row>
    <row r="26" spans="1:11" x14ac:dyDescent="0.3">
      <c r="A26" s="22" t="s">
        <v>843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</row>
    <row r="27" spans="1:11" ht="28.8" x14ac:dyDescent="0.3">
      <c r="A27" s="1" t="s">
        <v>844</v>
      </c>
      <c r="B27" s="1" t="s">
        <v>17</v>
      </c>
      <c r="C27" s="1" t="s">
        <v>845</v>
      </c>
      <c r="D27" s="1" t="s">
        <v>52</v>
      </c>
      <c r="E27" s="1" t="s">
        <v>846</v>
      </c>
      <c r="F27" s="1" t="s">
        <v>847</v>
      </c>
      <c r="G27" s="1" t="s">
        <v>3</v>
      </c>
      <c r="H27" s="1" t="s">
        <v>848</v>
      </c>
    </row>
    <row r="28" spans="1:11" ht="250.8" x14ac:dyDescent="0.3">
      <c r="A28" s="2" t="s">
        <v>849</v>
      </c>
      <c r="B28" s="12" t="s">
        <v>23</v>
      </c>
      <c r="C28" s="2" t="s">
        <v>850</v>
      </c>
      <c r="D28" s="9" t="s">
        <v>851</v>
      </c>
      <c r="E28" s="10"/>
      <c r="F28" s="2" t="s">
        <v>852</v>
      </c>
      <c r="G28" s="2" t="s">
        <v>853</v>
      </c>
      <c r="H28" s="2" t="s">
        <v>854</v>
      </c>
    </row>
    <row r="30" spans="1:11" x14ac:dyDescent="0.3">
      <c r="A30" s="24" t="s">
        <v>855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</row>
  </sheetData>
  <mergeCells count="4">
    <mergeCell ref="A30:K30"/>
    <mergeCell ref="A26:K26"/>
    <mergeCell ref="A1:K1"/>
    <mergeCell ref="A3:K3"/>
  </mergeCell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13"/>
  <sheetViews>
    <sheetView zoomScale="145" zoomScaleNormal="145" workbookViewId="0">
      <pane ySplit="2" topLeftCell="A7" activePane="bottomLeft" state="frozen"/>
      <selection pane="bottomLeft" activeCell="C2" sqref="C2"/>
    </sheetView>
  </sheetViews>
  <sheetFormatPr defaultRowHeight="14.4" x14ac:dyDescent="0.3"/>
  <cols>
    <col min="1" max="1" width="14.109375" customWidth="1"/>
    <col min="2" max="2" width="20" customWidth="1"/>
    <col min="3" max="3" width="30" customWidth="1"/>
    <col min="4" max="5" width="28" customWidth="1"/>
    <col min="6" max="6" width="22" customWidth="1"/>
    <col min="8" max="9" width="12" customWidth="1"/>
  </cols>
  <sheetData>
    <row r="1" spans="1:9" ht="24" customHeight="1" x14ac:dyDescent="0.3">
      <c r="A1" s="25" t="s">
        <v>856</v>
      </c>
      <c r="B1" s="23"/>
      <c r="C1" s="23"/>
      <c r="D1" s="23"/>
      <c r="E1" s="23"/>
      <c r="F1" s="23"/>
    </row>
    <row r="3" spans="1:9" x14ac:dyDescent="0.3">
      <c r="A3" s="1" t="s">
        <v>857</v>
      </c>
      <c r="B3" s="1" t="s">
        <v>18</v>
      </c>
      <c r="C3" s="1" t="s">
        <v>858</v>
      </c>
      <c r="D3" s="1" t="s">
        <v>859</v>
      </c>
      <c r="E3" s="1" t="s">
        <v>860</v>
      </c>
      <c r="F3" s="1" t="s">
        <v>861</v>
      </c>
      <c r="H3" s="2" t="s">
        <v>554</v>
      </c>
      <c r="I3" s="2" t="s">
        <v>862</v>
      </c>
    </row>
    <row r="4" spans="1:9" ht="28.8" x14ac:dyDescent="0.3">
      <c r="A4" s="18" t="e">
        <v>#DIV/0!</v>
      </c>
      <c r="B4" s="2" t="s">
        <v>863</v>
      </c>
      <c r="C4" s="2" t="s">
        <v>864</v>
      </c>
      <c r="D4" s="2" t="s">
        <v>865</v>
      </c>
      <c r="E4" s="2" t="s">
        <v>866</v>
      </c>
      <c r="F4" s="2" t="e">
        <f>10/0</f>
        <v>#DIV/0!</v>
      </c>
      <c r="H4" s="2" t="s">
        <v>867</v>
      </c>
      <c r="I4" s="2">
        <v>100</v>
      </c>
    </row>
    <row r="5" spans="1:9" x14ac:dyDescent="0.3">
      <c r="A5" s="18" t="e">
        <v>#N/A</v>
      </c>
      <c r="B5" s="2" t="s">
        <v>868</v>
      </c>
      <c r="C5" s="2" t="s">
        <v>869</v>
      </c>
      <c r="D5" s="2" t="s">
        <v>870</v>
      </c>
      <c r="E5" s="2" t="s">
        <v>871</v>
      </c>
      <c r="F5" s="2" t="e">
        <f>VLOOKUP("ZZZ",H4:I5,2,FALSE)</f>
        <v>#N/A</v>
      </c>
      <c r="H5" s="2" t="s">
        <v>872</v>
      </c>
      <c r="I5" s="2">
        <v>200</v>
      </c>
    </row>
    <row r="6" spans="1:9" ht="28.8" x14ac:dyDescent="0.3">
      <c r="A6" s="18" t="e">
        <v>#NAME?</v>
      </c>
      <c r="B6" s="2" t="s">
        <v>873</v>
      </c>
      <c r="C6" s="2" t="s">
        <v>874</v>
      </c>
      <c r="D6" s="2" t="s">
        <v>875</v>
      </c>
      <c r="E6" s="2" t="s">
        <v>876</v>
      </c>
      <c r="F6" s="2" t="e">
        <f ca="1">SUMM(1,2)</f>
        <v>#NAME?</v>
      </c>
    </row>
    <row r="7" spans="1:9" ht="28.8" x14ac:dyDescent="0.3">
      <c r="A7" s="18" t="e">
        <v>#REF!</v>
      </c>
      <c r="B7" s="2" t="s">
        <v>877</v>
      </c>
      <c r="C7" s="2" t="s">
        <v>878</v>
      </c>
      <c r="D7" s="2" t="s">
        <v>879</v>
      </c>
      <c r="E7" s="2" t="s">
        <v>880</v>
      </c>
      <c r="F7" s="2" t="e">
        <f>INDEX(A1:B2,3,1)</f>
        <v>#REF!</v>
      </c>
    </row>
    <row r="8" spans="1:9" ht="28.8" x14ac:dyDescent="0.3">
      <c r="A8" s="18" t="e">
        <v>#VALUE!</v>
      </c>
      <c r="B8" s="2" t="s">
        <v>881</v>
      </c>
      <c r="C8" s="2" t="s">
        <v>882</v>
      </c>
      <c r="D8" s="2" t="s">
        <v>883</v>
      </c>
      <c r="E8" s="2" t="s">
        <v>884</v>
      </c>
      <c r="F8" s="2" t="e">
        <f>LEFT("ABC",-1)</f>
        <v>#VALUE!</v>
      </c>
    </row>
    <row r="9" spans="1:9" ht="28.8" x14ac:dyDescent="0.3">
      <c r="A9" s="18" t="e">
        <v>#NUM!</v>
      </c>
      <c r="B9" s="2" t="s">
        <v>885</v>
      </c>
      <c r="C9" s="2" t="s">
        <v>886</v>
      </c>
      <c r="D9" s="2" t="s">
        <v>887</v>
      </c>
      <c r="E9" s="2" t="s">
        <v>888</v>
      </c>
      <c r="F9" s="2" t="e">
        <f>SQRT(-1)</f>
        <v>#NUM!</v>
      </c>
    </row>
    <row r="10" spans="1:9" ht="28.8" x14ac:dyDescent="0.3">
      <c r="A10" s="18" t="e">
        <v>#NULL!</v>
      </c>
      <c r="B10" s="2" t="s">
        <v>889</v>
      </c>
      <c r="C10" s="2" t="s">
        <v>890</v>
      </c>
      <c r="D10" s="2" t="s">
        <v>891</v>
      </c>
      <c r="E10" s="2" t="s">
        <v>892</v>
      </c>
      <c r="F10" s="2" t="e">
        <f>A1 A3</f>
        <v>#NULL!</v>
      </c>
    </row>
    <row r="11" spans="1:9" ht="28.8" x14ac:dyDescent="0.3">
      <c r="A11" s="18" t="s">
        <v>893</v>
      </c>
      <c r="B11" s="2" t="s">
        <v>894</v>
      </c>
      <c r="C11" s="2" t="s">
        <v>895</v>
      </c>
      <c r="D11" s="2" t="s">
        <v>896</v>
      </c>
      <c r="E11" s="2" t="s">
        <v>897</v>
      </c>
      <c r="F11" s="19">
        <f>DATE(2026,12,31)</f>
        <v>46387</v>
      </c>
    </row>
    <row r="12" spans="1:9" ht="28.8" x14ac:dyDescent="0.3">
      <c r="A12" s="18" t="s">
        <v>898</v>
      </c>
      <c r="B12" s="2" t="s">
        <v>899</v>
      </c>
      <c r="C12" s="2" t="s">
        <v>900</v>
      </c>
      <c r="D12" s="2" t="s">
        <v>901</v>
      </c>
      <c r="E12" s="2" t="s">
        <v>902</v>
      </c>
      <c r="F12" s="2" t="e" cm="1" vm="6">
        <f t="array" aca="1" ref="F12" ca="1">_xlfn.SEQUENCE(3)</f>
        <v>#VALUE!</v>
      </c>
    </row>
    <row r="13" spans="1:9" ht="28.8" x14ac:dyDescent="0.3">
      <c r="A13" s="18" t="s">
        <v>903</v>
      </c>
      <c r="B13" s="2" t="s">
        <v>904</v>
      </c>
      <c r="C13" s="2" t="s">
        <v>905</v>
      </c>
      <c r="D13" s="2" t="s">
        <v>906</v>
      </c>
      <c r="E13" s="2" t="s">
        <v>907</v>
      </c>
      <c r="F13" s="20" t="s">
        <v>908</v>
      </c>
    </row>
  </sheetData>
  <mergeCells count="1">
    <mergeCell ref="A1:F1"/>
  </mergeCell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A5FDB-09FB-4874-9FB2-7DE39D243E5D}">
  <dimension ref="A3:C20"/>
  <sheetViews>
    <sheetView workbookViewId="0">
      <selection activeCell="A3" sqref="A3"/>
    </sheetView>
  </sheetViews>
  <sheetFormatPr defaultRowHeight="14.4" x14ac:dyDescent="0.3"/>
  <sheetData>
    <row r="3" spans="1:3" x14ac:dyDescent="0.3">
      <c r="A3" s="83"/>
      <c r="B3" s="84"/>
      <c r="C3" s="85"/>
    </row>
    <row r="4" spans="1:3" x14ac:dyDescent="0.3">
      <c r="A4" s="86"/>
      <c r="B4" s="87"/>
      <c r="C4" s="88"/>
    </row>
    <row r="5" spans="1:3" x14ac:dyDescent="0.3">
      <c r="A5" s="86"/>
      <c r="B5" s="87"/>
      <c r="C5" s="88"/>
    </row>
    <row r="6" spans="1:3" x14ac:dyDescent="0.3">
      <c r="A6" s="86"/>
      <c r="B6" s="87"/>
      <c r="C6" s="88"/>
    </row>
    <row r="7" spans="1:3" x14ac:dyDescent="0.3">
      <c r="A7" s="86"/>
      <c r="B7" s="87"/>
      <c r="C7" s="88"/>
    </row>
    <row r="8" spans="1:3" x14ac:dyDescent="0.3">
      <c r="A8" s="86"/>
      <c r="B8" s="87"/>
      <c r="C8" s="88"/>
    </row>
    <row r="9" spans="1:3" x14ac:dyDescent="0.3">
      <c r="A9" s="86"/>
      <c r="B9" s="87"/>
      <c r="C9" s="88"/>
    </row>
    <row r="10" spans="1:3" x14ac:dyDescent="0.3">
      <c r="A10" s="86"/>
      <c r="B10" s="87"/>
      <c r="C10" s="88"/>
    </row>
    <row r="11" spans="1:3" x14ac:dyDescent="0.3">
      <c r="A11" s="86"/>
      <c r="B11" s="87"/>
      <c r="C11" s="88"/>
    </row>
    <row r="12" spans="1:3" x14ac:dyDescent="0.3">
      <c r="A12" s="86"/>
      <c r="B12" s="87"/>
      <c r="C12" s="88"/>
    </row>
    <row r="13" spans="1:3" x14ac:dyDescent="0.3">
      <c r="A13" s="86"/>
      <c r="B13" s="87"/>
      <c r="C13" s="88"/>
    </row>
    <row r="14" spans="1:3" x14ac:dyDescent="0.3">
      <c r="A14" s="86"/>
      <c r="B14" s="87"/>
      <c r="C14" s="88"/>
    </row>
    <row r="15" spans="1:3" x14ac:dyDescent="0.3">
      <c r="A15" s="86"/>
      <c r="B15" s="87"/>
      <c r="C15" s="88"/>
    </row>
    <row r="16" spans="1:3" x14ac:dyDescent="0.3">
      <c r="A16" s="86"/>
      <c r="B16" s="87"/>
      <c r="C16" s="88"/>
    </row>
    <row r="17" spans="1:3" x14ac:dyDescent="0.3">
      <c r="A17" s="86"/>
      <c r="B17" s="87"/>
      <c r="C17" s="88"/>
    </row>
    <row r="18" spans="1:3" x14ac:dyDescent="0.3">
      <c r="A18" s="86"/>
      <c r="B18" s="87"/>
      <c r="C18" s="88"/>
    </row>
    <row r="19" spans="1:3" x14ac:dyDescent="0.3">
      <c r="A19" s="86"/>
      <c r="B19" s="87"/>
      <c r="C19" s="88"/>
    </row>
    <row r="20" spans="1:3" x14ac:dyDescent="0.3">
      <c r="A20" s="89"/>
      <c r="B20" s="90"/>
      <c r="C20" s="91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2439F-916E-4CF1-83FF-9F40FBF98F9C}">
  <dimension ref="A3:H15"/>
  <sheetViews>
    <sheetView workbookViewId="0">
      <selection activeCell="C18" sqref="C18"/>
    </sheetView>
  </sheetViews>
  <sheetFormatPr defaultRowHeight="14.4" x14ac:dyDescent="0.3"/>
  <cols>
    <col min="1" max="1" width="20" bestFit="1" customWidth="1"/>
    <col min="2" max="2" width="19.109375" bestFit="1" customWidth="1"/>
    <col min="3" max="3" width="23.44140625" bestFit="1" customWidth="1"/>
    <col min="4" max="4" width="14.44140625" bestFit="1" customWidth="1"/>
    <col min="5" max="5" width="19.109375" bestFit="1" customWidth="1"/>
    <col min="6" max="6" width="23.44140625" bestFit="1" customWidth="1"/>
    <col min="7" max="7" width="21.44140625" bestFit="1" customWidth="1"/>
    <col min="8" max="8" width="22.33203125" bestFit="1" customWidth="1"/>
  </cols>
  <sheetData>
    <row r="3" spans="1:8" x14ac:dyDescent="0.3">
      <c r="A3" s="92" t="s">
        <v>29</v>
      </c>
      <c r="B3" s="92" t="s">
        <v>113</v>
      </c>
      <c r="C3" s="92" t="s">
        <v>912</v>
      </c>
      <c r="D3" s="92" t="s">
        <v>913</v>
      </c>
      <c r="E3" t="s">
        <v>949</v>
      </c>
      <c r="F3" t="s">
        <v>945</v>
      </c>
      <c r="G3" t="s">
        <v>1065</v>
      </c>
      <c r="H3" t="s">
        <v>956</v>
      </c>
    </row>
    <row r="4" spans="1:8" x14ac:dyDescent="0.3">
      <c r="A4" t="s">
        <v>35</v>
      </c>
      <c r="B4" t="s">
        <v>116</v>
      </c>
      <c r="C4" t="s">
        <v>916</v>
      </c>
      <c r="D4" t="s">
        <v>36</v>
      </c>
      <c r="E4" s="93">
        <v>504000</v>
      </c>
      <c r="F4" s="93">
        <v>24400</v>
      </c>
      <c r="G4" s="93">
        <v>3150</v>
      </c>
      <c r="H4" s="93">
        <v>0</v>
      </c>
    </row>
    <row r="5" spans="1:8" x14ac:dyDescent="0.3">
      <c r="A5" t="s">
        <v>43</v>
      </c>
      <c r="B5" t="s">
        <v>119</v>
      </c>
      <c r="C5" t="s">
        <v>918</v>
      </c>
      <c r="D5" t="s">
        <v>561</v>
      </c>
      <c r="E5" s="93">
        <v>54000</v>
      </c>
      <c r="F5" s="93">
        <v>1700</v>
      </c>
      <c r="G5" s="93">
        <v>45450</v>
      </c>
      <c r="H5" s="93">
        <v>24300</v>
      </c>
    </row>
    <row r="6" spans="1:8" x14ac:dyDescent="0.3">
      <c r="A6" t="s">
        <v>39</v>
      </c>
      <c r="B6" t="s">
        <v>117</v>
      </c>
      <c r="C6" t="s">
        <v>917</v>
      </c>
      <c r="D6" t="s">
        <v>40</v>
      </c>
      <c r="E6" s="93">
        <v>54000</v>
      </c>
      <c r="F6" s="93">
        <v>11700</v>
      </c>
      <c r="G6" s="93">
        <v>13950</v>
      </c>
      <c r="H6" s="93">
        <v>8100</v>
      </c>
    </row>
    <row r="7" spans="1:8" x14ac:dyDescent="0.3">
      <c r="A7" t="s">
        <v>47</v>
      </c>
      <c r="B7" t="s">
        <v>641</v>
      </c>
      <c r="C7" t="s">
        <v>919</v>
      </c>
      <c r="D7" t="s">
        <v>564</v>
      </c>
      <c r="E7" s="93">
        <v>54000</v>
      </c>
      <c r="F7" s="93">
        <v>4300</v>
      </c>
      <c r="G7" s="93">
        <v>6750</v>
      </c>
      <c r="H7" s="93">
        <v>2700</v>
      </c>
    </row>
    <row r="8" spans="1:8" x14ac:dyDescent="0.3">
      <c r="A8" t="s">
        <v>1064</v>
      </c>
      <c r="E8" s="93">
        <v>666000</v>
      </c>
      <c r="F8" s="93">
        <v>42100</v>
      </c>
      <c r="G8" s="93">
        <v>69300</v>
      </c>
      <c r="H8" s="93">
        <v>35100</v>
      </c>
    </row>
    <row r="13" spans="1:8" x14ac:dyDescent="0.3">
      <c r="C13" t="s">
        <v>121</v>
      </c>
      <c r="D13" t="s">
        <v>1068</v>
      </c>
    </row>
    <row r="14" spans="1:8" x14ac:dyDescent="0.3">
      <c r="C14" t="s">
        <v>1066</v>
      </c>
      <c r="D14" s="94">
        <v>0.05</v>
      </c>
    </row>
    <row r="15" spans="1:8" x14ac:dyDescent="0.3">
      <c r="C15" t="s">
        <v>1067</v>
      </c>
      <c r="D15" s="94">
        <v>0.95</v>
      </c>
    </row>
  </sheetData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6653D-EF02-4DFC-BC91-08A0EDDC2440}">
  <dimension ref="A1:C4"/>
  <sheetViews>
    <sheetView tabSelected="1" workbookViewId="0">
      <selection activeCell="F11" sqref="F11"/>
    </sheetView>
  </sheetViews>
  <sheetFormatPr defaultRowHeight="14.4" x14ac:dyDescent="0.3"/>
  <sheetData>
    <row r="1" spans="1:3" x14ac:dyDescent="0.3">
      <c r="A1" t="s">
        <v>1069</v>
      </c>
      <c r="B1" t="s">
        <v>1070</v>
      </c>
    </row>
    <row r="2" spans="1:3" x14ac:dyDescent="0.3">
      <c r="A2" t="s">
        <v>1061</v>
      </c>
      <c r="B2">
        <v>41</v>
      </c>
      <c r="C2" t="str">
        <f>IF(B2&gt;60,"First Division",IF(B2&gt;50,"Second Division",IF(B2&gt;40,"Pass","Fail")))</f>
        <v>Pass</v>
      </c>
    </row>
    <row r="3" spans="1:3" x14ac:dyDescent="0.3">
      <c r="A3" t="s">
        <v>1062</v>
      </c>
      <c r="B3">
        <v>51</v>
      </c>
      <c r="C3" t="str">
        <f t="shared" ref="C3:C4" si="0">IF(B3&gt;60,"First Division",IF(B3&gt;50,"Second Division",IF(B3&gt;40,"Pass","Fail")))</f>
        <v>Second Division</v>
      </c>
    </row>
    <row r="4" spans="1:3" x14ac:dyDescent="0.3">
      <c r="A4" t="s">
        <v>1035</v>
      </c>
      <c r="B4">
        <v>61</v>
      </c>
      <c r="C4" t="str">
        <f t="shared" si="0"/>
        <v>First Division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V40"/>
  <sheetViews>
    <sheetView workbookViewId="0">
      <pane ySplit="3" topLeftCell="A4" activePane="bottomLeft" state="frozen"/>
      <selection pane="bottomLeft" activeCell="F9" sqref="F9"/>
    </sheetView>
  </sheetViews>
  <sheetFormatPr defaultRowHeight="14.4" x14ac:dyDescent="0.3"/>
  <cols>
    <col min="1" max="1" width="14" customWidth="1"/>
    <col min="2" max="3" width="12" customWidth="1"/>
    <col min="4" max="6" width="14" customWidth="1"/>
    <col min="7" max="7" width="16" customWidth="1"/>
    <col min="8" max="9" width="14" customWidth="1"/>
    <col min="10" max="10" width="12" customWidth="1"/>
  </cols>
  <sheetData>
    <row r="1" spans="1:22" ht="24" customHeight="1" x14ac:dyDescent="0.3">
      <c r="A1" s="25" t="s">
        <v>909</v>
      </c>
      <c r="B1" s="23"/>
      <c r="C1" s="23"/>
      <c r="D1" s="23"/>
      <c r="E1" s="23"/>
      <c r="F1" s="23"/>
      <c r="G1" s="23"/>
      <c r="H1" s="23"/>
      <c r="I1" s="23"/>
      <c r="J1" s="23"/>
    </row>
    <row r="3" spans="1:22" x14ac:dyDescent="0.3">
      <c r="A3" s="22" t="s">
        <v>910</v>
      </c>
      <c r="B3" s="23"/>
      <c r="C3" s="23"/>
      <c r="D3" s="23"/>
      <c r="E3" s="23"/>
      <c r="F3" s="23"/>
      <c r="G3" s="23"/>
      <c r="H3" s="23"/>
      <c r="I3" s="23"/>
      <c r="J3" s="23"/>
    </row>
    <row r="4" spans="1:22" ht="28.8" x14ac:dyDescent="0.3">
      <c r="A4" s="1" t="s">
        <v>911</v>
      </c>
      <c r="B4" s="1" t="s">
        <v>29</v>
      </c>
      <c r="C4" s="1" t="s">
        <v>113</v>
      </c>
      <c r="D4" s="1" t="s">
        <v>912</v>
      </c>
      <c r="E4" s="1" t="s">
        <v>913</v>
      </c>
      <c r="F4" s="1" t="s">
        <v>692</v>
      </c>
      <c r="G4" s="1" t="s">
        <v>115</v>
      </c>
      <c r="H4" s="1" t="s">
        <v>914</v>
      </c>
      <c r="I4" s="1" t="s">
        <v>915</v>
      </c>
      <c r="J4" s="1" t="s">
        <v>33</v>
      </c>
      <c r="M4" t="s">
        <v>911</v>
      </c>
      <c r="N4" t="s">
        <v>29</v>
      </c>
      <c r="O4" t="s">
        <v>113</v>
      </c>
      <c r="P4" t="s">
        <v>912</v>
      </c>
      <c r="Q4" t="s">
        <v>913</v>
      </c>
      <c r="R4" t="s">
        <v>692</v>
      </c>
      <c r="S4" t="s">
        <v>115</v>
      </c>
      <c r="T4" t="s">
        <v>914</v>
      </c>
      <c r="U4" t="s">
        <v>915</v>
      </c>
      <c r="V4" t="s">
        <v>33</v>
      </c>
    </row>
    <row r="5" spans="1:22" x14ac:dyDescent="0.3">
      <c r="A5" s="13">
        <v>46027</v>
      </c>
      <c r="B5" s="2" t="s">
        <v>35</v>
      </c>
      <c r="C5" s="2" t="s">
        <v>116</v>
      </c>
      <c r="D5" s="2" t="s">
        <v>916</v>
      </c>
      <c r="E5" s="2" t="s">
        <v>36</v>
      </c>
      <c r="F5" s="21">
        <v>50000</v>
      </c>
      <c r="G5" s="21">
        <v>2500</v>
      </c>
      <c r="H5" s="21">
        <v>300</v>
      </c>
      <c r="I5" s="21">
        <v>0</v>
      </c>
      <c r="J5" s="2" t="s">
        <v>638</v>
      </c>
      <c r="M5">
        <v>46027</v>
      </c>
      <c r="N5" t="s">
        <v>35</v>
      </c>
      <c r="O5" t="s">
        <v>116</v>
      </c>
      <c r="P5" t="s">
        <v>916</v>
      </c>
      <c r="Q5" t="s">
        <v>36</v>
      </c>
      <c r="R5">
        <v>50000</v>
      </c>
      <c r="S5">
        <v>2500</v>
      </c>
      <c r="T5">
        <v>300</v>
      </c>
      <c r="U5">
        <v>0</v>
      </c>
      <c r="V5" t="s">
        <v>638</v>
      </c>
    </row>
    <row r="6" spans="1:22" x14ac:dyDescent="0.3">
      <c r="A6" s="13">
        <v>46034</v>
      </c>
      <c r="B6" s="2" t="s">
        <v>39</v>
      </c>
      <c r="C6" s="2" t="s">
        <v>117</v>
      </c>
      <c r="D6" s="2" t="s">
        <v>917</v>
      </c>
      <c r="E6" s="2" t="s">
        <v>40</v>
      </c>
      <c r="F6" s="21">
        <v>0</v>
      </c>
      <c r="G6" s="21">
        <v>1200</v>
      </c>
      <c r="H6" s="21">
        <v>1550</v>
      </c>
      <c r="I6" s="21">
        <v>900</v>
      </c>
      <c r="J6" s="2" t="s">
        <v>638</v>
      </c>
      <c r="M6">
        <v>46034</v>
      </c>
      <c r="N6" t="s">
        <v>39</v>
      </c>
      <c r="O6" t="s">
        <v>117</v>
      </c>
      <c r="P6" t="s">
        <v>917</v>
      </c>
      <c r="Q6" t="s">
        <v>40</v>
      </c>
      <c r="R6">
        <v>0</v>
      </c>
      <c r="S6">
        <v>1200</v>
      </c>
      <c r="T6">
        <v>1550</v>
      </c>
      <c r="U6">
        <v>900</v>
      </c>
      <c r="V6" t="s">
        <v>638</v>
      </c>
    </row>
    <row r="7" spans="1:22" x14ac:dyDescent="0.3">
      <c r="A7" s="13">
        <v>46041</v>
      </c>
      <c r="B7" s="2" t="s">
        <v>43</v>
      </c>
      <c r="C7" s="2" t="s">
        <v>119</v>
      </c>
      <c r="D7" s="2" t="s">
        <v>918</v>
      </c>
      <c r="E7" s="2" t="s">
        <v>561</v>
      </c>
      <c r="F7" s="21">
        <v>0</v>
      </c>
      <c r="G7" s="21">
        <v>200</v>
      </c>
      <c r="H7" s="21">
        <v>5100</v>
      </c>
      <c r="I7" s="21">
        <v>2700</v>
      </c>
      <c r="J7" s="2" t="s">
        <v>638</v>
      </c>
      <c r="M7">
        <v>46041</v>
      </c>
      <c r="N7" t="s">
        <v>43</v>
      </c>
      <c r="O7" t="s">
        <v>119</v>
      </c>
      <c r="P7" t="s">
        <v>918</v>
      </c>
      <c r="Q7" t="s">
        <v>561</v>
      </c>
      <c r="R7">
        <v>0</v>
      </c>
      <c r="S7">
        <v>200</v>
      </c>
      <c r="T7">
        <v>5100</v>
      </c>
      <c r="U7">
        <v>2700</v>
      </c>
      <c r="V7" t="s">
        <v>638</v>
      </c>
    </row>
    <row r="8" spans="1:22" x14ac:dyDescent="0.3">
      <c r="A8" s="13">
        <v>46048</v>
      </c>
      <c r="B8" s="2" t="s">
        <v>47</v>
      </c>
      <c r="C8" s="2" t="s">
        <v>641</v>
      </c>
      <c r="D8" s="2" t="s">
        <v>919</v>
      </c>
      <c r="E8" s="2" t="s">
        <v>564</v>
      </c>
      <c r="F8" s="21">
        <v>0</v>
      </c>
      <c r="G8" s="21">
        <v>600</v>
      </c>
      <c r="H8" s="21">
        <v>700</v>
      </c>
      <c r="I8" s="21">
        <v>300</v>
      </c>
      <c r="J8" s="2" t="s">
        <v>638</v>
      </c>
      <c r="M8">
        <v>46048</v>
      </c>
      <c r="N8" t="s">
        <v>47</v>
      </c>
      <c r="O8" t="s">
        <v>641</v>
      </c>
      <c r="P8" t="s">
        <v>919</v>
      </c>
      <c r="Q8" t="s">
        <v>564</v>
      </c>
      <c r="R8">
        <v>0</v>
      </c>
      <c r="S8">
        <v>600</v>
      </c>
      <c r="T8">
        <v>700</v>
      </c>
      <c r="U8">
        <v>300</v>
      </c>
      <c r="V8" t="s">
        <v>638</v>
      </c>
    </row>
    <row r="9" spans="1:22" x14ac:dyDescent="0.3">
      <c r="A9" s="13">
        <v>46055</v>
      </c>
      <c r="B9" s="2" t="s">
        <v>35</v>
      </c>
      <c r="C9" s="2" t="s">
        <v>116</v>
      </c>
      <c r="D9" s="2" t="s">
        <v>916</v>
      </c>
      <c r="E9" s="2" t="s">
        <v>36</v>
      </c>
      <c r="F9" s="21">
        <v>51500</v>
      </c>
      <c r="G9" s="21">
        <v>2900</v>
      </c>
      <c r="H9" s="21">
        <v>350</v>
      </c>
      <c r="I9" s="21">
        <v>0</v>
      </c>
      <c r="J9" s="2" t="s">
        <v>638</v>
      </c>
      <c r="M9">
        <v>46055</v>
      </c>
      <c r="N9" t="s">
        <v>35</v>
      </c>
      <c r="O9" t="s">
        <v>116</v>
      </c>
      <c r="P9" t="s">
        <v>916</v>
      </c>
      <c r="Q9" t="s">
        <v>36</v>
      </c>
      <c r="R9">
        <v>51500</v>
      </c>
      <c r="S9">
        <v>2900</v>
      </c>
      <c r="T9">
        <v>350</v>
      </c>
      <c r="U9">
        <v>0</v>
      </c>
      <c r="V9" t="s">
        <v>638</v>
      </c>
    </row>
    <row r="10" spans="1:22" x14ac:dyDescent="0.3">
      <c r="A10" s="13">
        <v>46062</v>
      </c>
      <c r="B10" s="2" t="s">
        <v>39</v>
      </c>
      <c r="C10" s="2" t="s">
        <v>117</v>
      </c>
      <c r="D10" s="2" t="s">
        <v>917</v>
      </c>
      <c r="E10" s="2" t="s">
        <v>40</v>
      </c>
      <c r="F10" s="21">
        <v>1500</v>
      </c>
      <c r="G10" s="21">
        <v>1100</v>
      </c>
      <c r="H10" s="21">
        <v>1600</v>
      </c>
      <c r="I10" s="21">
        <v>900</v>
      </c>
      <c r="J10" s="2" t="s">
        <v>638</v>
      </c>
      <c r="M10">
        <v>46062</v>
      </c>
      <c r="N10" t="s">
        <v>39</v>
      </c>
      <c r="O10" t="s">
        <v>117</v>
      </c>
      <c r="P10" t="s">
        <v>917</v>
      </c>
      <c r="Q10" t="s">
        <v>40</v>
      </c>
      <c r="R10">
        <v>1500</v>
      </c>
      <c r="S10">
        <v>1100</v>
      </c>
      <c r="T10">
        <v>1600</v>
      </c>
      <c r="U10">
        <v>900</v>
      </c>
      <c r="V10" t="s">
        <v>638</v>
      </c>
    </row>
    <row r="11" spans="1:22" x14ac:dyDescent="0.3">
      <c r="A11" s="13">
        <v>46069</v>
      </c>
      <c r="B11" s="2" t="s">
        <v>43</v>
      </c>
      <c r="C11" s="2" t="s">
        <v>119</v>
      </c>
      <c r="D11" s="2" t="s">
        <v>918</v>
      </c>
      <c r="E11" s="2" t="s">
        <v>561</v>
      </c>
      <c r="F11" s="21">
        <v>1500</v>
      </c>
      <c r="G11" s="21">
        <v>100</v>
      </c>
      <c r="H11" s="21">
        <v>5000</v>
      </c>
      <c r="I11" s="21">
        <v>2700</v>
      </c>
      <c r="J11" s="2" t="s">
        <v>638</v>
      </c>
      <c r="M11">
        <v>46069</v>
      </c>
      <c r="N11" t="s">
        <v>43</v>
      </c>
      <c r="O11" t="s">
        <v>119</v>
      </c>
      <c r="P11" t="s">
        <v>918</v>
      </c>
      <c r="Q11" t="s">
        <v>561</v>
      </c>
      <c r="R11">
        <v>1500</v>
      </c>
      <c r="S11">
        <v>100</v>
      </c>
      <c r="T11">
        <v>5000</v>
      </c>
      <c r="U11">
        <v>2700</v>
      </c>
      <c r="V11" t="s">
        <v>638</v>
      </c>
    </row>
    <row r="12" spans="1:22" x14ac:dyDescent="0.3">
      <c r="A12" s="13">
        <v>46076</v>
      </c>
      <c r="B12" s="2" t="s">
        <v>47</v>
      </c>
      <c r="C12" s="2" t="s">
        <v>641</v>
      </c>
      <c r="D12" s="2" t="s">
        <v>919</v>
      </c>
      <c r="E12" s="2" t="s">
        <v>564</v>
      </c>
      <c r="F12" s="21">
        <v>1500</v>
      </c>
      <c r="G12" s="21">
        <v>500</v>
      </c>
      <c r="H12" s="21">
        <v>750</v>
      </c>
      <c r="I12" s="21">
        <v>300</v>
      </c>
      <c r="J12" s="2" t="s">
        <v>638</v>
      </c>
    </row>
    <row r="13" spans="1:22" x14ac:dyDescent="0.3">
      <c r="A13" s="13">
        <v>46083</v>
      </c>
      <c r="B13" s="2" t="s">
        <v>35</v>
      </c>
      <c r="C13" s="2" t="s">
        <v>116</v>
      </c>
      <c r="D13" s="2" t="s">
        <v>916</v>
      </c>
      <c r="E13" s="2" t="s">
        <v>36</v>
      </c>
      <c r="F13" s="21">
        <v>53000</v>
      </c>
      <c r="G13" s="21">
        <v>2800</v>
      </c>
      <c r="H13" s="21">
        <v>400</v>
      </c>
      <c r="I13" s="21">
        <v>0</v>
      </c>
      <c r="J13" s="2" t="s">
        <v>639</v>
      </c>
    </row>
    <row r="14" spans="1:22" x14ac:dyDescent="0.3">
      <c r="A14" s="13">
        <v>46090</v>
      </c>
      <c r="B14" s="2" t="s">
        <v>39</v>
      </c>
      <c r="C14" s="2" t="s">
        <v>117</v>
      </c>
      <c r="D14" s="2" t="s">
        <v>917</v>
      </c>
      <c r="E14" s="2" t="s">
        <v>40</v>
      </c>
      <c r="F14" s="21">
        <v>3000</v>
      </c>
      <c r="G14" s="21">
        <v>1500</v>
      </c>
      <c r="H14" s="21">
        <v>1500</v>
      </c>
      <c r="I14" s="21">
        <v>900</v>
      </c>
      <c r="J14" s="2" t="s">
        <v>638</v>
      </c>
    </row>
    <row r="15" spans="1:22" x14ac:dyDescent="0.3">
      <c r="A15" s="13">
        <v>46097</v>
      </c>
      <c r="B15" s="2" t="s">
        <v>43</v>
      </c>
      <c r="C15" s="2" t="s">
        <v>119</v>
      </c>
      <c r="D15" s="2" t="s">
        <v>918</v>
      </c>
      <c r="E15" s="2" t="s">
        <v>561</v>
      </c>
      <c r="F15" s="21">
        <v>3000</v>
      </c>
      <c r="G15" s="21">
        <v>0</v>
      </c>
      <c r="H15" s="21">
        <v>5050</v>
      </c>
      <c r="I15" s="21">
        <v>2700</v>
      </c>
      <c r="J15" s="2" t="s">
        <v>638</v>
      </c>
    </row>
    <row r="16" spans="1:22" x14ac:dyDescent="0.3">
      <c r="A16" s="13">
        <v>46104</v>
      </c>
      <c r="B16" s="2" t="s">
        <v>47</v>
      </c>
      <c r="C16" s="2" t="s">
        <v>641</v>
      </c>
      <c r="D16" s="2" t="s">
        <v>919</v>
      </c>
      <c r="E16" s="2" t="s">
        <v>564</v>
      </c>
      <c r="F16" s="21">
        <v>3000</v>
      </c>
      <c r="G16" s="21">
        <v>400</v>
      </c>
      <c r="H16" s="21">
        <v>800</v>
      </c>
      <c r="I16" s="21">
        <v>300</v>
      </c>
      <c r="J16" s="2" t="s">
        <v>638</v>
      </c>
    </row>
    <row r="17" spans="1:10" x14ac:dyDescent="0.3">
      <c r="A17" s="13">
        <v>46111</v>
      </c>
      <c r="B17" s="2" t="s">
        <v>35</v>
      </c>
      <c r="C17" s="2" t="s">
        <v>116</v>
      </c>
      <c r="D17" s="2" t="s">
        <v>916</v>
      </c>
      <c r="E17" s="2" t="s">
        <v>36</v>
      </c>
      <c r="F17" s="21">
        <v>54500</v>
      </c>
      <c r="G17" s="21">
        <v>2700</v>
      </c>
      <c r="H17" s="21">
        <v>300</v>
      </c>
      <c r="I17" s="21">
        <v>0</v>
      </c>
      <c r="J17" s="2" t="s">
        <v>640</v>
      </c>
    </row>
    <row r="18" spans="1:10" x14ac:dyDescent="0.3">
      <c r="A18" s="13">
        <v>46118</v>
      </c>
      <c r="B18" s="2" t="s">
        <v>39</v>
      </c>
      <c r="C18" s="2" t="s">
        <v>117</v>
      </c>
      <c r="D18" s="2" t="s">
        <v>917</v>
      </c>
      <c r="E18" s="2" t="s">
        <v>40</v>
      </c>
      <c r="F18" s="21">
        <v>4500</v>
      </c>
      <c r="G18" s="21">
        <v>1400</v>
      </c>
      <c r="H18" s="21">
        <v>1550</v>
      </c>
      <c r="I18" s="21">
        <v>900</v>
      </c>
      <c r="J18" s="2" t="s">
        <v>638</v>
      </c>
    </row>
    <row r="19" spans="1:10" x14ac:dyDescent="0.3">
      <c r="A19" s="13">
        <v>46125</v>
      </c>
      <c r="B19" s="2" t="s">
        <v>43</v>
      </c>
      <c r="C19" s="2" t="s">
        <v>119</v>
      </c>
      <c r="D19" s="2" t="s">
        <v>918</v>
      </c>
      <c r="E19" s="2" t="s">
        <v>561</v>
      </c>
      <c r="F19" s="21">
        <v>4500</v>
      </c>
      <c r="G19" s="21">
        <v>400</v>
      </c>
      <c r="H19" s="21">
        <v>5100</v>
      </c>
      <c r="I19" s="21">
        <v>2700</v>
      </c>
      <c r="J19" s="2" t="s">
        <v>638</v>
      </c>
    </row>
    <row r="20" spans="1:10" x14ac:dyDescent="0.3">
      <c r="A20" s="13">
        <v>46132</v>
      </c>
      <c r="B20" s="2" t="s">
        <v>47</v>
      </c>
      <c r="C20" s="2" t="s">
        <v>641</v>
      </c>
      <c r="D20" s="2" t="s">
        <v>919</v>
      </c>
      <c r="E20" s="2" t="s">
        <v>564</v>
      </c>
      <c r="F20" s="21">
        <v>4500</v>
      </c>
      <c r="G20" s="21">
        <v>300</v>
      </c>
      <c r="H20" s="21">
        <v>700</v>
      </c>
      <c r="I20" s="21">
        <v>300</v>
      </c>
      <c r="J20" s="2" t="s">
        <v>638</v>
      </c>
    </row>
    <row r="21" spans="1:10" x14ac:dyDescent="0.3">
      <c r="A21" s="13">
        <v>46139</v>
      </c>
      <c r="B21" s="2" t="s">
        <v>35</v>
      </c>
      <c r="C21" s="2" t="s">
        <v>116</v>
      </c>
      <c r="D21" s="2" t="s">
        <v>916</v>
      </c>
      <c r="E21" s="2" t="s">
        <v>36</v>
      </c>
      <c r="F21" s="21">
        <v>56000</v>
      </c>
      <c r="G21" s="21">
        <v>2600</v>
      </c>
      <c r="H21" s="21">
        <v>350</v>
      </c>
      <c r="I21" s="21">
        <v>0</v>
      </c>
      <c r="J21" s="2" t="s">
        <v>640</v>
      </c>
    </row>
    <row r="22" spans="1:10" x14ac:dyDescent="0.3">
      <c r="A22" s="13">
        <v>46146</v>
      </c>
      <c r="B22" s="2" t="s">
        <v>39</v>
      </c>
      <c r="C22" s="2" t="s">
        <v>117</v>
      </c>
      <c r="D22" s="2" t="s">
        <v>917</v>
      </c>
      <c r="E22" s="2" t="s">
        <v>40</v>
      </c>
      <c r="F22" s="21">
        <v>6000</v>
      </c>
      <c r="G22" s="21">
        <v>1300</v>
      </c>
      <c r="H22" s="21">
        <v>1600</v>
      </c>
      <c r="I22" s="21">
        <v>900</v>
      </c>
      <c r="J22" s="2" t="s">
        <v>638</v>
      </c>
    </row>
    <row r="23" spans="1:10" x14ac:dyDescent="0.3">
      <c r="A23" s="13">
        <v>46153</v>
      </c>
      <c r="B23" s="2" t="s">
        <v>43</v>
      </c>
      <c r="C23" s="2" t="s">
        <v>119</v>
      </c>
      <c r="D23" s="2" t="s">
        <v>918</v>
      </c>
      <c r="E23" s="2" t="s">
        <v>561</v>
      </c>
      <c r="F23" s="21">
        <v>6000</v>
      </c>
      <c r="G23" s="21">
        <v>300</v>
      </c>
      <c r="H23" s="21">
        <v>5000</v>
      </c>
      <c r="I23" s="21">
        <v>2700</v>
      </c>
      <c r="J23" s="2" t="s">
        <v>638</v>
      </c>
    </row>
    <row r="24" spans="1:10" x14ac:dyDescent="0.3">
      <c r="A24" s="13">
        <v>46160</v>
      </c>
      <c r="B24" s="2" t="s">
        <v>47</v>
      </c>
      <c r="C24" s="2" t="s">
        <v>641</v>
      </c>
      <c r="D24" s="2" t="s">
        <v>919</v>
      </c>
      <c r="E24" s="2" t="s">
        <v>564</v>
      </c>
      <c r="F24" s="21">
        <v>6000</v>
      </c>
      <c r="G24" s="21">
        <v>700</v>
      </c>
      <c r="H24" s="21">
        <v>750</v>
      </c>
      <c r="I24" s="21">
        <v>300</v>
      </c>
      <c r="J24" s="2" t="s">
        <v>638</v>
      </c>
    </row>
    <row r="25" spans="1:10" x14ac:dyDescent="0.3">
      <c r="A25" s="13">
        <v>46167</v>
      </c>
      <c r="B25" s="2" t="s">
        <v>35</v>
      </c>
      <c r="C25" s="2" t="s">
        <v>116</v>
      </c>
      <c r="D25" s="2" t="s">
        <v>916</v>
      </c>
      <c r="E25" s="2" t="s">
        <v>36</v>
      </c>
      <c r="F25" s="21">
        <v>57500</v>
      </c>
      <c r="G25" s="21">
        <v>2500</v>
      </c>
      <c r="H25" s="21">
        <v>400</v>
      </c>
      <c r="I25" s="21">
        <v>0</v>
      </c>
      <c r="J25" s="2" t="s">
        <v>638</v>
      </c>
    </row>
    <row r="26" spans="1:10" x14ac:dyDescent="0.3">
      <c r="A26" s="13">
        <v>46174</v>
      </c>
      <c r="B26" s="2" t="s">
        <v>39</v>
      </c>
      <c r="C26" s="2" t="s">
        <v>117</v>
      </c>
      <c r="D26" s="2" t="s">
        <v>917</v>
      </c>
      <c r="E26" s="2" t="s">
        <v>40</v>
      </c>
      <c r="F26" s="21">
        <v>7500</v>
      </c>
      <c r="G26" s="21">
        <v>1200</v>
      </c>
      <c r="H26" s="21">
        <v>1500</v>
      </c>
      <c r="I26" s="21">
        <v>900</v>
      </c>
      <c r="J26" s="2" t="s">
        <v>638</v>
      </c>
    </row>
    <row r="27" spans="1:10" x14ac:dyDescent="0.3">
      <c r="A27" s="13">
        <v>46181</v>
      </c>
      <c r="B27" s="2" t="s">
        <v>43</v>
      </c>
      <c r="C27" s="2" t="s">
        <v>119</v>
      </c>
      <c r="D27" s="2" t="s">
        <v>918</v>
      </c>
      <c r="E27" s="2" t="s">
        <v>561</v>
      </c>
      <c r="F27" s="21">
        <v>7500</v>
      </c>
      <c r="G27" s="21">
        <v>200</v>
      </c>
      <c r="H27" s="21">
        <v>5050</v>
      </c>
      <c r="I27" s="21">
        <v>2700</v>
      </c>
      <c r="J27" s="2" t="s">
        <v>638</v>
      </c>
    </row>
    <row r="28" spans="1:10" x14ac:dyDescent="0.3">
      <c r="A28" s="13">
        <v>46188</v>
      </c>
      <c r="B28" s="2" t="s">
        <v>47</v>
      </c>
      <c r="C28" s="2" t="s">
        <v>641</v>
      </c>
      <c r="D28" s="2" t="s">
        <v>919</v>
      </c>
      <c r="E28" s="2" t="s">
        <v>564</v>
      </c>
      <c r="F28" s="21">
        <v>7500</v>
      </c>
      <c r="G28" s="21">
        <v>600</v>
      </c>
      <c r="H28" s="21">
        <v>800</v>
      </c>
      <c r="I28" s="21">
        <v>300</v>
      </c>
      <c r="J28" s="2" t="s">
        <v>638</v>
      </c>
    </row>
    <row r="29" spans="1:10" x14ac:dyDescent="0.3">
      <c r="A29" s="13">
        <v>46195</v>
      </c>
      <c r="B29" s="2" t="s">
        <v>35</v>
      </c>
      <c r="C29" s="2" t="s">
        <v>116</v>
      </c>
      <c r="D29" s="2" t="s">
        <v>916</v>
      </c>
      <c r="E29" s="2" t="s">
        <v>36</v>
      </c>
      <c r="F29" s="21">
        <v>59000</v>
      </c>
      <c r="G29" s="21">
        <v>2900</v>
      </c>
      <c r="H29" s="21">
        <v>300</v>
      </c>
      <c r="I29" s="21">
        <v>0</v>
      </c>
      <c r="J29" s="2" t="s">
        <v>639</v>
      </c>
    </row>
    <row r="30" spans="1:10" x14ac:dyDescent="0.3">
      <c r="A30" s="13">
        <v>46202</v>
      </c>
      <c r="B30" s="2" t="s">
        <v>39</v>
      </c>
      <c r="C30" s="2" t="s">
        <v>117</v>
      </c>
      <c r="D30" s="2" t="s">
        <v>917</v>
      </c>
      <c r="E30" s="2" t="s">
        <v>40</v>
      </c>
      <c r="F30" s="21">
        <v>9000</v>
      </c>
      <c r="G30" s="21">
        <v>1100</v>
      </c>
      <c r="H30" s="21">
        <v>1550</v>
      </c>
      <c r="I30" s="21">
        <v>900</v>
      </c>
      <c r="J30" s="2" t="s">
        <v>638</v>
      </c>
    </row>
    <row r="31" spans="1:10" x14ac:dyDescent="0.3">
      <c r="A31" s="13">
        <v>46209</v>
      </c>
      <c r="B31" s="2" t="s">
        <v>43</v>
      </c>
      <c r="C31" s="2" t="s">
        <v>119</v>
      </c>
      <c r="D31" s="2" t="s">
        <v>918</v>
      </c>
      <c r="E31" s="2" t="s">
        <v>561</v>
      </c>
      <c r="F31" s="21">
        <v>9000</v>
      </c>
      <c r="G31" s="21">
        <v>100</v>
      </c>
      <c r="H31" s="21">
        <v>5100</v>
      </c>
      <c r="I31" s="21">
        <v>2700</v>
      </c>
      <c r="J31" s="2" t="s">
        <v>638</v>
      </c>
    </row>
    <row r="32" spans="1:10" x14ac:dyDescent="0.3">
      <c r="A32" s="13">
        <v>46216</v>
      </c>
      <c r="B32" s="2" t="s">
        <v>47</v>
      </c>
      <c r="C32" s="2" t="s">
        <v>641</v>
      </c>
      <c r="D32" s="2" t="s">
        <v>919</v>
      </c>
      <c r="E32" s="2" t="s">
        <v>564</v>
      </c>
      <c r="F32" s="21">
        <v>9000</v>
      </c>
      <c r="G32" s="21">
        <v>500</v>
      </c>
      <c r="H32" s="21">
        <v>700</v>
      </c>
      <c r="I32" s="21">
        <v>300</v>
      </c>
      <c r="J32" s="2" t="s">
        <v>638</v>
      </c>
    </row>
    <row r="33" spans="1:10" x14ac:dyDescent="0.3">
      <c r="A33" s="13">
        <v>46223</v>
      </c>
      <c r="B33" s="2" t="s">
        <v>35</v>
      </c>
      <c r="C33" s="2" t="s">
        <v>116</v>
      </c>
      <c r="D33" s="2" t="s">
        <v>916</v>
      </c>
      <c r="E33" s="2" t="s">
        <v>36</v>
      </c>
      <c r="F33" s="21">
        <v>60500</v>
      </c>
      <c r="G33" s="21">
        <v>2800</v>
      </c>
      <c r="H33" s="21">
        <v>350</v>
      </c>
      <c r="I33" s="21">
        <v>0</v>
      </c>
      <c r="J33" s="2" t="s">
        <v>639</v>
      </c>
    </row>
    <row r="34" spans="1:10" x14ac:dyDescent="0.3">
      <c r="A34" s="13">
        <v>46230</v>
      </c>
      <c r="B34" s="2" t="s">
        <v>39</v>
      </c>
      <c r="C34" s="2" t="s">
        <v>117</v>
      </c>
      <c r="D34" s="2" t="s">
        <v>917</v>
      </c>
      <c r="E34" s="2" t="s">
        <v>40</v>
      </c>
      <c r="F34" s="21">
        <v>10500</v>
      </c>
      <c r="G34" s="21">
        <v>1500</v>
      </c>
      <c r="H34" s="21">
        <v>1600</v>
      </c>
      <c r="I34" s="21">
        <v>900</v>
      </c>
      <c r="J34" s="2" t="s">
        <v>638</v>
      </c>
    </row>
    <row r="35" spans="1:10" x14ac:dyDescent="0.3">
      <c r="A35" s="13">
        <v>46237</v>
      </c>
      <c r="B35" s="2" t="s">
        <v>43</v>
      </c>
      <c r="C35" s="2" t="s">
        <v>119</v>
      </c>
      <c r="D35" s="2" t="s">
        <v>918</v>
      </c>
      <c r="E35" s="2" t="s">
        <v>561</v>
      </c>
      <c r="F35" s="21">
        <v>10500</v>
      </c>
      <c r="G35" s="21">
        <v>0</v>
      </c>
      <c r="H35" s="21">
        <v>5000</v>
      </c>
      <c r="I35" s="21">
        <v>2700</v>
      </c>
      <c r="J35" s="2" t="s">
        <v>638</v>
      </c>
    </row>
    <row r="36" spans="1:10" x14ac:dyDescent="0.3">
      <c r="A36" s="13">
        <v>46244</v>
      </c>
      <c r="B36" s="2" t="s">
        <v>47</v>
      </c>
      <c r="C36" s="2" t="s">
        <v>641</v>
      </c>
      <c r="D36" s="2" t="s">
        <v>919</v>
      </c>
      <c r="E36" s="2" t="s">
        <v>564</v>
      </c>
      <c r="F36" s="21">
        <v>10500</v>
      </c>
      <c r="G36" s="21">
        <v>400</v>
      </c>
      <c r="H36" s="21">
        <v>750</v>
      </c>
      <c r="I36" s="21">
        <v>300</v>
      </c>
      <c r="J36" s="2" t="s">
        <v>638</v>
      </c>
    </row>
    <row r="37" spans="1:10" x14ac:dyDescent="0.3">
      <c r="A37" s="13">
        <v>46251</v>
      </c>
      <c r="B37" s="2" t="s">
        <v>35</v>
      </c>
      <c r="C37" s="2" t="s">
        <v>116</v>
      </c>
      <c r="D37" s="2" t="s">
        <v>916</v>
      </c>
      <c r="E37" s="2" t="s">
        <v>36</v>
      </c>
      <c r="F37" s="21">
        <v>62000</v>
      </c>
      <c r="G37" s="21">
        <v>2700</v>
      </c>
      <c r="H37" s="21">
        <v>400</v>
      </c>
      <c r="I37" s="21">
        <v>0</v>
      </c>
      <c r="J37" s="2" t="s">
        <v>640</v>
      </c>
    </row>
    <row r="38" spans="1:10" x14ac:dyDescent="0.3">
      <c r="A38" s="13">
        <v>46258</v>
      </c>
      <c r="B38" s="2" t="s">
        <v>39</v>
      </c>
      <c r="C38" s="2" t="s">
        <v>117</v>
      </c>
      <c r="D38" s="2" t="s">
        <v>917</v>
      </c>
      <c r="E38" s="2" t="s">
        <v>40</v>
      </c>
      <c r="F38" s="21">
        <v>12000</v>
      </c>
      <c r="G38" s="21">
        <v>1400</v>
      </c>
      <c r="H38" s="21">
        <v>1500</v>
      </c>
      <c r="I38" s="21">
        <v>900</v>
      </c>
      <c r="J38" s="2" t="s">
        <v>638</v>
      </c>
    </row>
    <row r="39" spans="1:10" x14ac:dyDescent="0.3">
      <c r="A39" s="13">
        <v>46265</v>
      </c>
      <c r="B39" s="2" t="s">
        <v>43</v>
      </c>
      <c r="C39" s="2" t="s">
        <v>119</v>
      </c>
      <c r="D39" s="2" t="s">
        <v>918</v>
      </c>
      <c r="E39" s="2" t="s">
        <v>561</v>
      </c>
      <c r="F39" s="21">
        <v>12000</v>
      </c>
      <c r="G39" s="21">
        <v>400</v>
      </c>
      <c r="H39" s="21">
        <v>5050</v>
      </c>
      <c r="I39" s="21">
        <v>2700</v>
      </c>
      <c r="J39" s="2" t="s">
        <v>638</v>
      </c>
    </row>
    <row r="40" spans="1:10" x14ac:dyDescent="0.3">
      <c r="A40" s="13">
        <v>46272</v>
      </c>
      <c r="B40" s="2" t="s">
        <v>47</v>
      </c>
      <c r="C40" s="2" t="s">
        <v>641</v>
      </c>
      <c r="D40" s="2" t="s">
        <v>919</v>
      </c>
      <c r="E40" s="2" t="s">
        <v>564</v>
      </c>
      <c r="F40" s="21">
        <v>12000</v>
      </c>
      <c r="G40" s="21">
        <v>300</v>
      </c>
      <c r="H40" s="21">
        <v>800</v>
      </c>
      <c r="I40" s="21">
        <v>300</v>
      </c>
      <c r="J40" s="2" t="s">
        <v>638</v>
      </c>
    </row>
  </sheetData>
  <mergeCells count="2">
    <mergeCell ref="A1:J1"/>
    <mergeCell ref="A3:J3"/>
  </mergeCells>
  <pageMargins left="0.75" right="0.75" top="1" bottom="1" header="0.5" footer="0.5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37"/>
  <sheetViews>
    <sheetView workbookViewId="0">
      <pane ySplit="3" topLeftCell="A12" activePane="bottomLeft" state="frozen"/>
      <selection pane="bottomLeft" sqref="A1:J1"/>
    </sheetView>
  </sheetViews>
  <sheetFormatPr defaultRowHeight="14.4" x14ac:dyDescent="0.3"/>
  <cols>
    <col min="1" max="1" width="28" customWidth="1"/>
    <col min="2" max="2" width="22" customWidth="1"/>
    <col min="3" max="4" width="18" customWidth="1"/>
    <col min="5" max="5" width="22" customWidth="1"/>
    <col min="6" max="6" width="20" customWidth="1"/>
    <col min="7" max="8" width="18" customWidth="1"/>
    <col min="9" max="9" width="28" customWidth="1"/>
    <col min="10" max="10" width="22" customWidth="1"/>
  </cols>
  <sheetData>
    <row r="1" spans="1:10" ht="24" customHeight="1" x14ac:dyDescent="0.3">
      <c r="A1" s="25" t="s">
        <v>920</v>
      </c>
      <c r="B1" s="23"/>
      <c r="C1" s="23"/>
      <c r="D1" s="23"/>
      <c r="E1" s="23"/>
      <c r="F1" s="23"/>
      <c r="G1" s="23"/>
      <c r="H1" s="23"/>
      <c r="I1" s="23"/>
      <c r="J1" s="23"/>
    </row>
    <row r="3" spans="1:10" x14ac:dyDescent="0.3">
      <c r="A3" s="22" t="s">
        <v>921</v>
      </c>
      <c r="B3" s="23"/>
      <c r="C3" s="23"/>
      <c r="D3" s="23"/>
      <c r="E3" s="23"/>
      <c r="F3" s="23"/>
      <c r="G3" s="23"/>
      <c r="H3" s="23"/>
      <c r="I3" s="23"/>
      <c r="J3" s="23"/>
    </row>
    <row r="4" spans="1:10" x14ac:dyDescent="0.3">
      <c r="A4" s="1" t="s">
        <v>922</v>
      </c>
      <c r="B4" s="1" t="s">
        <v>923</v>
      </c>
    </row>
    <row r="5" spans="1:10" ht="43.2" x14ac:dyDescent="0.3">
      <c r="A5" s="2" t="s">
        <v>924</v>
      </c>
      <c r="B5" s="2" t="s">
        <v>925</v>
      </c>
    </row>
    <row r="6" spans="1:10" ht="57.6" x14ac:dyDescent="0.3">
      <c r="A6" s="2" t="s">
        <v>926</v>
      </c>
      <c r="B6" s="2" t="s">
        <v>927</v>
      </c>
    </row>
    <row r="7" spans="1:10" ht="43.2" x14ac:dyDescent="0.3">
      <c r="A7" s="2" t="s">
        <v>928</v>
      </c>
      <c r="B7" s="2" t="s">
        <v>929</v>
      </c>
    </row>
    <row r="8" spans="1:10" ht="28.8" x14ac:dyDescent="0.3">
      <c r="A8" s="2" t="s">
        <v>930</v>
      </c>
      <c r="B8" s="2" t="s">
        <v>931</v>
      </c>
    </row>
    <row r="9" spans="1:10" ht="43.2" x14ac:dyDescent="0.3">
      <c r="A9" s="2" t="s">
        <v>932</v>
      </c>
      <c r="B9" s="2" t="s">
        <v>933</v>
      </c>
    </row>
    <row r="11" spans="1:10" x14ac:dyDescent="0.3">
      <c r="A11" s="22" t="s">
        <v>934</v>
      </c>
      <c r="B11" s="23"/>
      <c r="C11" s="23"/>
      <c r="D11" s="23"/>
      <c r="E11" s="23"/>
      <c r="F11" s="23"/>
      <c r="G11" s="23"/>
      <c r="H11" s="23"/>
      <c r="I11" s="23"/>
      <c r="J11" s="23"/>
    </row>
    <row r="12" spans="1:10" ht="28.8" x14ac:dyDescent="0.3">
      <c r="A12" s="1" t="s">
        <v>935</v>
      </c>
      <c r="B12" s="1" t="s">
        <v>936</v>
      </c>
      <c r="C12" s="1" t="s">
        <v>937</v>
      </c>
      <c r="D12" s="1" t="s">
        <v>938</v>
      </c>
      <c r="E12" s="1" t="s">
        <v>939</v>
      </c>
      <c r="F12" s="1" t="s">
        <v>940</v>
      </c>
      <c r="G12" s="1" t="s">
        <v>941</v>
      </c>
      <c r="H12" s="1" t="s">
        <v>942</v>
      </c>
    </row>
    <row r="13" spans="1:10" ht="43.2" x14ac:dyDescent="0.3">
      <c r="A13" s="2" t="s">
        <v>943</v>
      </c>
      <c r="B13" s="2" t="s">
        <v>944</v>
      </c>
      <c r="C13" s="2" t="s">
        <v>29</v>
      </c>
      <c r="D13" s="2"/>
      <c r="E13" s="2" t="s">
        <v>945</v>
      </c>
      <c r="F13" s="2"/>
      <c r="G13" s="2" t="s">
        <v>33</v>
      </c>
      <c r="H13" s="2" t="s">
        <v>946</v>
      </c>
    </row>
    <row r="14" spans="1:10" ht="28.8" x14ac:dyDescent="0.3">
      <c r="A14" s="2" t="s">
        <v>947</v>
      </c>
      <c r="B14" s="2" t="s">
        <v>948</v>
      </c>
      <c r="C14" s="2" t="s">
        <v>913</v>
      </c>
      <c r="D14" s="2"/>
      <c r="E14" s="2" t="s">
        <v>949</v>
      </c>
      <c r="F14" s="2"/>
      <c r="G14" s="2" t="s">
        <v>29</v>
      </c>
      <c r="H14" s="2" t="s">
        <v>950</v>
      </c>
    </row>
    <row r="15" spans="1:10" ht="43.2" x14ac:dyDescent="0.3">
      <c r="A15" s="2" t="s">
        <v>951</v>
      </c>
      <c r="B15" s="2" t="s">
        <v>952</v>
      </c>
      <c r="C15" s="2" t="s">
        <v>113</v>
      </c>
      <c r="D15" s="2"/>
      <c r="E15" s="2" t="s">
        <v>945</v>
      </c>
      <c r="F15" s="2" t="s">
        <v>29</v>
      </c>
      <c r="G15" s="2" t="s">
        <v>33</v>
      </c>
      <c r="H15" s="2" t="s">
        <v>953</v>
      </c>
    </row>
    <row r="16" spans="1:10" ht="57.6" x14ac:dyDescent="0.3">
      <c r="A16" s="2" t="s">
        <v>954</v>
      </c>
      <c r="B16" s="2" t="s">
        <v>955</v>
      </c>
      <c r="C16" s="2" t="s">
        <v>29</v>
      </c>
      <c r="D16" s="2" t="s">
        <v>33</v>
      </c>
      <c r="E16" s="2" t="s">
        <v>956</v>
      </c>
      <c r="F16" s="2"/>
      <c r="G16" s="2" t="s">
        <v>33</v>
      </c>
      <c r="H16" s="2" t="s">
        <v>957</v>
      </c>
    </row>
    <row r="17" spans="1:8" ht="28.8" x14ac:dyDescent="0.3">
      <c r="A17" s="2" t="s">
        <v>958</v>
      </c>
      <c r="B17" s="2" t="s">
        <v>959</v>
      </c>
      <c r="C17" s="2" t="s">
        <v>960</v>
      </c>
      <c r="D17" s="2"/>
      <c r="E17" s="2" t="s">
        <v>945</v>
      </c>
      <c r="F17" s="2" t="s">
        <v>913</v>
      </c>
      <c r="G17" s="2" t="s">
        <v>29</v>
      </c>
      <c r="H17" s="2" t="s">
        <v>961</v>
      </c>
    </row>
    <row r="19" spans="1:8" x14ac:dyDescent="0.3">
      <c r="A19" s="22" t="s">
        <v>962</v>
      </c>
      <c r="B19" s="23"/>
      <c r="C19" s="23"/>
      <c r="D19" s="23"/>
      <c r="F19" s="22" t="s">
        <v>963</v>
      </c>
      <c r="G19" s="23"/>
      <c r="H19" s="23"/>
    </row>
    <row r="20" spans="1:8" x14ac:dyDescent="0.3">
      <c r="A20" s="1" t="s">
        <v>29</v>
      </c>
      <c r="B20" s="1" t="s">
        <v>964</v>
      </c>
      <c r="F20" s="1" t="s">
        <v>913</v>
      </c>
      <c r="G20" s="1" t="s">
        <v>965</v>
      </c>
    </row>
    <row r="21" spans="1:8" x14ac:dyDescent="0.3">
      <c r="A21" s="2" t="s">
        <v>35</v>
      </c>
      <c r="B21" s="21">
        <v>24400</v>
      </c>
      <c r="F21" s="2" t="s">
        <v>561</v>
      </c>
      <c r="G21" s="21">
        <v>54000</v>
      </c>
    </row>
    <row r="22" spans="1:8" x14ac:dyDescent="0.3">
      <c r="A22" s="2" t="s">
        <v>43</v>
      </c>
      <c r="B22" s="21">
        <v>1700</v>
      </c>
      <c r="F22" s="2" t="s">
        <v>36</v>
      </c>
      <c r="G22" s="21">
        <v>504000</v>
      </c>
    </row>
    <row r="23" spans="1:8" x14ac:dyDescent="0.3">
      <c r="A23" s="2" t="s">
        <v>39</v>
      </c>
      <c r="B23" s="21">
        <v>11700</v>
      </c>
      <c r="F23" s="2" t="s">
        <v>40</v>
      </c>
      <c r="G23" s="21">
        <v>54000</v>
      </c>
    </row>
    <row r="24" spans="1:8" x14ac:dyDescent="0.3">
      <c r="A24" s="2" t="s">
        <v>47</v>
      </c>
      <c r="B24" s="21">
        <v>4300</v>
      </c>
      <c r="F24" s="2" t="s">
        <v>564</v>
      </c>
      <c r="G24" s="21">
        <v>54000</v>
      </c>
    </row>
    <row r="28" spans="1:8" x14ac:dyDescent="0.3">
      <c r="A28" s="22" t="s">
        <v>966</v>
      </c>
      <c r="B28" s="23"/>
      <c r="C28" s="23"/>
      <c r="D28" s="23"/>
    </row>
    <row r="29" spans="1:8" x14ac:dyDescent="0.3">
      <c r="A29" s="1" t="s">
        <v>113</v>
      </c>
      <c r="B29" s="1" t="s">
        <v>964</v>
      </c>
    </row>
    <row r="30" spans="1:8" x14ac:dyDescent="0.3">
      <c r="A30" s="2" t="s">
        <v>116</v>
      </c>
      <c r="B30" s="21">
        <v>24400</v>
      </c>
    </row>
    <row r="31" spans="1:8" x14ac:dyDescent="0.3">
      <c r="A31" s="2" t="s">
        <v>117</v>
      </c>
      <c r="B31" s="21">
        <v>11700</v>
      </c>
    </row>
    <row r="32" spans="1:8" x14ac:dyDescent="0.3">
      <c r="A32" s="2" t="s">
        <v>119</v>
      </c>
      <c r="B32" s="21">
        <v>1700</v>
      </c>
    </row>
    <row r="33" spans="1:10" x14ac:dyDescent="0.3">
      <c r="A33" s="2" t="s">
        <v>641</v>
      </c>
      <c r="B33" s="21">
        <v>4300</v>
      </c>
    </row>
    <row r="37" spans="1:10" x14ac:dyDescent="0.3">
      <c r="A37" s="24" t="s">
        <v>967</v>
      </c>
      <c r="B37" s="23"/>
      <c r="C37" s="23"/>
      <c r="D37" s="23"/>
      <c r="E37" s="23"/>
      <c r="F37" s="23"/>
      <c r="G37" s="23"/>
      <c r="H37" s="23"/>
      <c r="I37" s="23"/>
      <c r="J37" s="23"/>
    </row>
  </sheetData>
  <mergeCells count="7">
    <mergeCell ref="A1:J1"/>
    <mergeCell ref="A37:J37"/>
    <mergeCell ref="F19:H19"/>
    <mergeCell ref="A3:J3"/>
    <mergeCell ref="A19:D19"/>
    <mergeCell ref="A28:D28"/>
    <mergeCell ref="A11:J11"/>
  </mergeCells>
  <pageMargins left="0.75" right="0.75" top="1" bottom="1" header="0.5" footer="0.5"/>
  <drawing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1"/>
  <sheetViews>
    <sheetView workbookViewId="0">
      <pane ySplit="3" topLeftCell="A7" activePane="bottomLeft" state="frozen"/>
      <selection pane="bottomLeft" activeCell="K5" sqref="K5:L9"/>
    </sheetView>
  </sheetViews>
  <sheetFormatPr defaultRowHeight="14.4" x14ac:dyDescent="0.3"/>
  <cols>
    <col min="1" max="1" width="18" customWidth="1"/>
    <col min="2" max="2" width="16" customWidth="1"/>
    <col min="3" max="3" width="15" customWidth="1"/>
    <col min="4" max="5" width="14" customWidth="1"/>
    <col min="6" max="6" width="18" customWidth="1"/>
    <col min="7" max="7" width="14" customWidth="1"/>
    <col min="8" max="9" width="16" customWidth="1"/>
    <col min="10" max="10" width="34" customWidth="1"/>
  </cols>
  <sheetData>
    <row r="1" spans="1:11" ht="24" customHeight="1" x14ac:dyDescent="0.3">
      <c r="A1" s="25" t="s">
        <v>26</v>
      </c>
      <c r="B1" s="23"/>
      <c r="C1" s="23"/>
      <c r="D1" s="23"/>
      <c r="E1" s="23"/>
      <c r="F1" s="23"/>
      <c r="G1" s="23"/>
      <c r="H1" s="23"/>
      <c r="I1" s="23"/>
      <c r="J1" s="23"/>
    </row>
    <row r="3" spans="1:11" x14ac:dyDescent="0.3">
      <c r="A3" s="22" t="s">
        <v>27</v>
      </c>
      <c r="B3" s="23"/>
      <c r="C3" s="23"/>
      <c r="D3" s="23"/>
      <c r="E3" s="23"/>
      <c r="F3" s="23"/>
      <c r="G3" s="23"/>
      <c r="H3" s="23"/>
      <c r="I3" s="23"/>
      <c r="J3" s="23"/>
    </row>
    <row r="4" spans="1:11" x14ac:dyDescent="0.3">
      <c r="A4" s="1" t="s">
        <v>28</v>
      </c>
      <c r="B4" s="1" t="s">
        <v>29</v>
      </c>
      <c r="C4" s="1" t="s">
        <v>30</v>
      </c>
      <c r="D4" s="1" t="s">
        <v>31</v>
      </c>
      <c r="E4" s="1" t="s">
        <v>32</v>
      </c>
      <c r="F4" s="1" t="s">
        <v>33</v>
      </c>
      <c r="I4" s="6">
        <v>0.13</v>
      </c>
    </row>
    <row r="5" spans="1:11" x14ac:dyDescent="0.3">
      <c r="A5" s="2" t="s">
        <v>34</v>
      </c>
      <c r="B5" s="2" t="s">
        <v>35</v>
      </c>
      <c r="C5" s="2" t="s">
        <v>36</v>
      </c>
      <c r="D5" s="7">
        <v>12000</v>
      </c>
      <c r="E5" s="2">
        <v>1.5</v>
      </c>
      <c r="F5" s="2" t="s">
        <v>37</v>
      </c>
    </row>
    <row r="6" spans="1:11" x14ac:dyDescent="0.3">
      <c r="A6" s="2" t="s">
        <v>38</v>
      </c>
      <c r="B6" s="2" t="s">
        <v>39</v>
      </c>
      <c r="C6" s="2" t="s">
        <v>40</v>
      </c>
      <c r="D6" s="7">
        <v>3500</v>
      </c>
      <c r="E6" s="2">
        <v>2</v>
      </c>
      <c r="F6" s="2" t="s">
        <v>41</v>
      </c>
    </row>
    <row r="7" spans="1:11" x14ac:dyDescent="0.3">
      <c r="A7" s="2" t="s">
        <v>42</v>
      </c>
      <c r="B7" s="2" t="s">
        <v>43</v>
      </c>
      <c r="C7" s="2" t="s">
        <v>44</v>
      </c>
      <c r="D7" s="7">
        <v>8000</v>
      </c>
      <c r="E7" s="2">
        <v>1.2</v>
      </c>
      <c r="F7" s="2" t="s">
        <v>37</v>
      </c>
    </row>
    <row r="8" spans="1:11" x14ac:dyDescent="0.3">
      <c r="A8" s="2" t="s">
        <v>45</v>
      </c>
      <c r="B8" s="2" t="s">
        <v>35</v>
      </c>
      <c r="C8" s="2" t="s">
        <v>36</v>
      </c>
      <c r="D8" s="7">
        <v>15000</v>
      </c>
      <c r="E8" s="2">
        <v>1.8</v>
      </c>
      <c r="F8" s="2" t="s">
        <v>41</v>
      </c>
    </row>
    <row r="9" spans="1:11" x14ac:dyDescent="0.3">
      <c r="A9" s="2" t="s">
        <v>46</v>
      </c>
      <c r="B9" s="2" t="s">
        <v>47</v>
      </c>
      <c r="C9" s="2" t="s">
        <v>40</v>
      </c>
      <c r="D9" s="7">
        <v>4200</v>
      </c>
      <c r="E9" s="2">
        <v>2.1</v>
      </c>
      <c r="F9" s="2" t="s">
        <v>37</v>
      </c>
    </row>
    <row r="11" spans="1:11" x14ac:dyDescent="0.3">
      <c r="A11" s="22" t="s">
        <v>48</v>
      </c>
      <c r="B11" s="23"/>
      <c r="C11" s="23"/>
      <c r="D11" s="23"/>
      <c r="E11" s="23"/>
      <c r="F11" s="23"/>
      <c r="G11" s="23"/>
      <c r="H11" s="23"/>
      <c r="I11" s="23"/>
      <c r="J11" s="23"/>
    </row>
    <row r="12" spans="1:11" ht="28.8" x14ac:dyDescent="0.3">
      <c r="A12" s="1" t="s">
        <v>49</v>
      </c>
      <c r="B12" s="1" t="s">
        <v>17</v>
      </c>
      <c r="C12" s="1" t="s">
        <v>50</v>
      </c>
      <c r="D12" s="1" t="s">
        <v>51</v>
      </c>
      <c r="E12" s="1" t="s">
        <v>52</v>
      </c>
      <c r="F12" s="1" t="s">
        <v>53</v>
      </c>
      <c r="G12" s="1" t="s">
        <v>54</v>
      </c>
      <c r="H12" s="1" t="s">
        <v>55</v>
      </c>
      <c r="I12" s="1" t="s">
        <v>56</v>
      </c>
      <c r="J12" s="1" t="s">
        <v>57</v>
      </c>
    </row>
    <row r="13" spans="1:11" ht="129.6" x14ac:dyDescent="0.3">
      <c r="A13" s="2" t="s">
        <v>58</v>
      </c>
      <c r="B13" s="8" t="s">
        <v>19</v>
      </c>
      <c r="C13" s="2" t="s">
        <v>59</v>
      </c>
      <c r="D13" s="2" t="s">
        <v>60</v>
      </c>
      <c r="E13" s="9" t="s">
        <v>61</v>
      </c>
      <c r="F13" s="10">
        <f>D5*E5</f>
        <v>18000</v>
      </c>
      <c r="G13" s="2" t="s">
        <v>62</v>
      </c>
      <c r="H13" s="2" t="s">
        <v>63</v>
      </c>
      <c r="I13" s="2" t="s">
        <v>64</v>
      </c>
      <c r="J13" s="2" t="s">
        <v>65</v>
      </c>
      <c r="K13" s="2" t="s">
        <v>66</v>
      </c>
    </row>
    <row r="14" spans="1:11" ht="43.2" x14ac:dyDescent="0.3">
      <c r="A14" s="2" t="s">
        <v>67</v>
      </c>
      <c r="B14" s="8" t="s">
        <v>19</v>
      </c>
      <c r="C14" s="2" t="s">
        <v>68</v>
      </c>
      <c r="D14" s="2" t="s">
        <v>69</v>
      </c>
      <c r="E14" s="9" t="s">
        <v>70</v>
      </c>
      <c r="F14" s="10">
        <f>D5*$I$4</f>
        <v>1560</v>
      </c>
      <c r="G14" s="2" t="s">
        <v>71</v>
      </c>
      <c r="H14" s="2" t="s">
        <v>72</v>
      </c>
      <c r="I14" s="2" t="s">
        <v>73</v>
      </c>
      <c r="J14" s="2" t="s">
        <v>74</v>
      </c>
    </row>
    <row r="15" spans="1:11" ht="43.2" x14ac:dyDescent="0.3">
      <c r="A15" s="2" t="s">
        <v>75</v>
      </c>
      <c r="B15" s="11" t="s">
        <v>21</v>
      </c>
      <c r="C15" s="2" t="s">
        <v>76</v>
      </c>
      <c r="D15" s="2" t="s">
        <v>77</v>
      </c>
      <c r="E15" s="9" t="s">
        <v>78</v>
      </c>
      <c r="F15" s="10">
        <f>D5*$I4</f>
        <v>1560</v>
      </c>
      <c r="G15" s="2" t="s">
        <v>79</v>
      </c>
      <c r="H15" s="2" t="s">
        <v>80</v>
      </c>
      <c r="I15" s="2" t="s">
        <v>81</v>
      </c>
      <c r="J15" s="2" t="s">
        <v>82</v>
      </c>
    </row>
    <row r="16" spans="1:11" ht="43.2" x14ac:dyDescent="0.3">
      <c r="A16" s="2" t="s">
        <v>83</v>
      </c>
      <c r="B16" s="8" t="s">
        <v>19</v>
      </c>
      <c r="C16" s="2" t="s">
        <v>84</v>
      </c>
      <c r="D16" s="2" t="s">
        <v>85</v>
      </c>
      <c r="E16" s="2"/>
      <c r="F16" s="2"/>
      <c r="G16" s="2" t="s">
        <v>86</v>
      </c>
      <c r="H16" s="2" t="s">
        <v>87</v>
      </c>
      <c r="I16" s="2" t="s">
        <v>88</v>
      </c>
      <c r="J16" s="2" t="s">
        <v>89</v>
      </c>
    </row>
    <row r="17" spans="1:10" ht="43.2" x14ac:dyDescent="0.3">
      <c r="A17" s="2" t="s">
        <v>90</v>
      </c>
      <c r="B17" s="8" t="s">
        <v>19</v>
      </c>
      <c r="C17" s="2" t="s">
        <v>91</v>
      </c>
      <c r="D17" s="2" t="s">
        <v>92</v>
      </c>
      <c r="E17" s="2"/>
      <c r="F17" s="2"/>
      <c r="G17" s="2" t="s">
        <v>93</v>
      </c>
      <c r="H17" s="2" t="s">
        <v>94</v>
      </c>
      <c r="I17" s="2" t="s">
        <v>95</v>
      </c>
      <c r="J17" s="2" t="s">
        <v>96</v>
      </c>
    </row>
    <row r="18" spans="1:10" ht="43.2" x14ac:dyDescent="0.3">
      <c r="A18" s="2" t="s">
        <v>97</v>
      </c>
      <c r="B18" s="8" t="s">
        <v>19</v>
      </c>
      <c r="C18" s="2" t="s">
        <v>91</v>
      </c>
      <c r="D18" s="2" t="s">
        <v>98</v>
      </c>
      <c r="E18" s="2"/>
      <c r="F18" s="2"/>
      <c r="G18" s="2" t="s">
        <v>99</v>
      </c>
      <c r="H18" s="2" t="s">
        <v>100</v>
      </c>
      <c r="I18" s="2" t="s">
        <v>101</v>
      </c>
      <c r="J18" s="2" t="s">
        <v>102</v>
      </c>
    </row>
    <row r="19" spans="1:10" ht="43.2" x14ac:dyDescent="0.3">
      <c r="A19" s="2" t="s">
        <v>103</v>
      </c>
      <c r="B19" s="11" t="s">
        <v>21</v>
      </c>
      <c r="C19" s="2" t="s">
        <v>104</v>
      </c>
      <c r="D19" s="2" t="s">
        <v>105</v>
      </c>
      <c r="E19" s="2"/>
      <c r="F19" s="2"/>
      <c r="G19" s="2" t="s">
        <v>106</v>
      </c>
      <c r="H19" s="2" t="s">
        <v>107</v>
      </c>
      <c r="I19" s="2" t="s">
        <v>108</v>
      </c>
      <c r="J19" s="2" t="s">
        <v>109</v>
      </c>
    </row>
    <row r="21" spans="1:10" x14ac:dyDescent="0.3">
      <c r="A21" s="24" t="s">
        <v>110</v>
      </c>
      <c r="B21" s="23"/>
      <c r="C21" s="23"/>
      <c r="D21" s="23"/>
      <c r="E21" s="23"/>
      <c r="F21" s="23"/>
      <c r="G21" s="23"/>
      <c r="H21" s="23"/>
      <c r="I21" s="23"/>
      <c r="J21" s="23"/>
    </row>
  </sheetData>
  <mergeCells count="4">
    <mergeCell ref="A1:J1"/>
    <mergeCell ref="A21:J21"/>
    <mergeCell ref="A3:J3"/>
    <mergeCell ref="A11:J11"/>
  </mergeCells>
  <conditionalFormatting sqref="D5:D9">
    <cfRule type="colorScale" priority="1">
      <colorScale>
        <cfvo type="min"/>
        <cfvo type="percentile" val="50"/>
        <cfvo type="max"/>
        <color rgb="FFFFF2CC"/>
        <color rgb="FFFFD966"/>
        <color rgb="FFA9D18E"/>
      </colorScale>
    </cfRule>
  </conditionalFormatting>
  <dataValidations count="1">
    <dataValidation type="list" allowBlank="1" sqref="F5:F9" xr:uid="{00000000-0002-0000-0100-000000000000}">
      <formula1>"Pending,Posted,Hold"</formula1>
    </dataValidation>
  </dataValidations>
  <pageMargins left="0.75" right="0.75" top="1" bottom="1" header="0.5" footer="0.5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12"/>
  <sheetViews>
    <sheetView workbookViewId="0">
      <pane ySplit="2" topLeftCell="A3" activePane="bottomLeft" state="frozen"/>
      <selection pane="bottomLeft" activeCell="D9" sqref="D9"/>
    </sheetView>
  </sheetViews>
  <sheetFormatPr defaultRowHeight="14.4" x14ac:dyDescent="0.3"/>
  <cols>
    <col min="1" max="1" width="12" customWidth="1"/>
    <col min="2" max="2" width="14" customWidth="1"/>
    <col min="3" max="3" width="28" customWidth="1"/>
    <col min="4" max="4" width="48" customWidth="1"/>
    <col min="5" max="5" width="24" customWidth="1"/>
    <col min="6" max="6" width="20" customWidth="1"/>
    <col min="7" max="7" width="16" customWidth="1"/>
    <col min="8" max="8" width="30" customWidth="1"/>
  </cols>
  <sheetData>
    <row r="1" spans="1:8" ht="24" customHeight="1" x14ac:dyDescent="0.3">
      <c r="A1" s="25" t="s">
        <v>968</v>
      </c>
      <c r="B1" s="23"/>
      <c r="C1" s="23"/>
      <c r="D1" s="23"/>
      <c r="E1" s="23"/>
      <c r="F1" s="23"/>
      <c r="G1" s="23"/>
      <c r="H1" s="23"/>
    </row>
    <row r="3" spans="1:8" x14ac:dyDescent="0.3">
      <c r="A3" s="1" t="s">
        <v>17</v>
      </c>
      <c r="B3" s="1" t="s">
        <v>969</v>
      </c>
      <c r="C3" s="1" t="s">
        <v>2</v>
      </c>
      <c r="D3" s="1" t="s">
        <v>970</v>
      </c>
      <c r="E3" s="1" t="s">
        <v>971</v>
      </c>
      <c r="F3" s="1" t="s">
        <v>847</v>
      </c>
      <c r="G3" s="1" t="s">
        <v>972</v>
      </c>
      <c r="H3" s="1" t="s">
        <v>973</v>
      </c>
    </row>
    <row r="4" spans="1:8" ht="28.8" x14ac:dyDescent="0.3">
      <c r="A4" s="8" t="s">
        <v>19</v>
      </c>
      <c r="B4" s="2">
        <v>1</v>
      </c>
      <c r="C4" s="2" t="s">
        <v>129</v>
      </c>
      <c r="D4" s="2" t="s">
        <v>974</v>
      </c>
      <c r="E4" s="2" t="s">
        <v>975</v>
      </c>
      <c r="F4" s="2" t="s">
        <v>133</v>
      </c>
      <c r="G4" s="2" t="s">
        <v>128</v>
      </c>
      <c r="H4" s="2" t="s">
        <v>976</v>
      </c>
    </row>
    <row r="5" spans="1:8" ht="28.8" x14ac:dyDescent="0.3">
      <c r="A5" s="8" t="s">
        <v>19</v>
      </c>
      <c r="B5" s="2">
        <v>2</v>
      </c>
      <c r="C5" s="2" t="s">
        <v>247</v>
      </c>
      <c r="D5" s="2" t="s">
        <v>977</v>
      </c>
      <c r="E5" s="2" t="s">
        <v>978</v>
      </c>
      <c r="F5" s="2" t="s">
        <v>245</v>
      </c>
      <c r="G5" s="2" t="s">
        <v>246</v>
      </c>
      <c r="H5" s="2" t="s">
        <v>976</v>
      </c>
    </row>
    <row r="6" spans="1:8" x14ac:dyDescent="0.3">
      <c r="A6" s="8" t="s">
        <v>19</v>
      </c>
      <c r="B6" s="2">
        <v>3</v>
      </c>
      <c r="C6" s="2" t="s">
        <v>372</v>
      </c>
      <c r="D6" s="2" t="s">
        <v>979</v>
      </c>
      <c r="E6" s="2" t="s">
        <v>980</v>
      </c>
      <c r="F6" s="2" t="s">
        <v>376</v>
      </c>
      <c r="G6" s="2" t="s">
        <v>339</v>
      </c>
      <c r="H6" s="2" t="s">
        <v>976</v>
      </c>
    </row>
    <row r="7" spans="1:8" ht="28.8" x14ac:dyDescent="0.3">
      <c r="A7" s="11" t="s">
        <v>21</v>
      </c>
      <c r="B7" s="2">
        <v>4</v>
      </c>
      <c r="C7" s="2" t="s">
        <v>651</v>
      </c>
      <c r="D7" s="2" t="s">
        <v>981</v>
      </c>
      <c r="E7" s="2" t="s">
        <v>982</v>
      </c>
      <c r="F7" s="2" t="s">
        <v>655</v>
      </c>
      <c r="G7" s="2" t="s">
        <v>642</v>
      </c>
      <c r="H7" s="2" t="s">
        <v>976</v>
      </c>
    </row>
    <row r="8" spans="1:8" ht="28.8" x14ac:dyDescent="0.3">
      <c r="A8" s="11" t="s">
        <v>21</v>
      </c>
      <c r="B8" s="2">
        <v>5</v>
      </c>
      <c r="C8" s="2" t="s">
        <v>571</v>
      </c>
      <c r="D8" s="2" t="s">
        <v>983</v>
      </c>
      <c r="E8" s="2" t="s">
        <v>984</v>
      </c>
      <c r="F8" s="2" t="s">
        <v>36</v>
      </c>
      <c r="G8" s="2" t="s">
        <v>570</v>
      </c>
      <c r="H8" s="2" t="s">
        <v>976</v>
      </c>
    </row>
    <row r="9" spans="1:8" ht="28.8" x14ac:dyDescent="0.3">
      <c r="A9" s="11" t="s">
        <v>21</v>
      </c>
      <c r="B9" s="2">
        <v>6</v>
      </c>
      <c r="C9" s="2" t="s">
        <v>528</v>
      </c>
      <c r="D9" s="2" t="s">
        <v>985</v>
      </c>
      <c r="E9" s="2" t="s">
        <v>986</v>
      </c>
      <c r="F9" s="2" t="s">
        <v>532</v>
      </c>
      <c r="G9" s="2" t="s">
        <v>464</v>
      </c>
      <c r="H9" s="2" t="s">
        <v>976</v>
      </c>
    </row>
    <row r="10" spans="1:8" ht="28.8" x14ac:dyDescent="0.3">
      <c r="A10" s="12" t="s">
        <v>23</v>
      </c>
      <c r="B10" s="2">
        <v>7</v>
      </c>
      <c r="C10" s="2" t="s">
        <v>741</v>
      </c>
      <c r="D10" s="2" t="s">
        <v>987</v>
      </c>
      <c r="E10" s="2" t="s">
        <v>988</v>
      </c>
      <c r="F10" s="2" t="s">
        <v>989</v>
      </c>
      <c r="G10" s="2" t="s">
        <v>740</v>
      </c>
      <c r="H10" s="2" t="s">
        <v>976</v>
      </c>
    </row>
    <row r="11" spans="1:8" x14ac:dyDescent="0.3">
      <c r="A11" s="12" t="s">
        <v>23</v>
      </c>
      <c r="B11" s="2">
        <v>8</v>
      </c>
      <c r="C11" s="2" t="s">
        <v>827</v>
      </c>
      <c r="D11" s="2" t="s">
        <v>990</v>
      </c>
      <c r="E11" s="2" t="s">
        <v>991</v>
      </c>
      <c r="F11" s="2" t="s">
        <v>992</v>
      </c>
      <c r="G11" s="2" t="s">
        <v>740</v>
      </c>
      <c r="H11" s="2" t="s">
        <v>976</v>
      </c>
    </row>
    <row r="12" spans="1:8" ht="28.8" x14ac:dyDescent="0.3">
      <c r="A12" s="12" t="s">
        <v>23</v>
      </c>
      <c r="B12" s="2">
        <v>9</v>
      </c>
      <c r="C12" s="2" t="s">
        <v>993</v>
      </c>
      <c r="D12" s="2" t="s">
        <v>994</v>
      </c>
      <c r="E12" s="2" t="s">
        <v>995</v>
      </c>
      <c r="F12" s="2" t="s">
        <v>996</v>
      </c>
      <c r="G12" s="2" t="s">
        <v>997</v>
      </c>
      <c r="H12" s="2" t="s">
        <v>976</v>
      </c>
    </row>
  </sheetData>
  <mergeCells count="1">
    <mergeCell ref="A1:H1"/>
  </mergeCells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2"/>
  <sheetViews>
    <sheetView workbookViewId="0">
      <pane ySplit="3" topLeftCell="A4" activePane="bottomLeft" state="frozen"/>
      <selection pane="bottomLeft" activeCell="E28" sqref="E28"/>
    </sheetView>
  </sheetViews>
  <sheetFormatPr defaultRowHeight="14.4" x14ac:dyDescent="0.3"/>
  <cols>
    <col min="1" max="1" width="18" customWidth="1"/>
    <col min="2" max="2" width="60" customWidth="1"/>
    <col min="3" max="8" width="18" customWidth="1"/>
  </cols>
  <sheetData>
    <row r="1" spans="1:8" ht="24" customHeight="1" x14ac:dyDescent="0.3">
      <c r="A1" s="25" t="s">
        <v>998</v>
      </c>
      <c r="B1" s="23"/>
      <c r="C1" s="23"/>
      <c r="D1" s="23"/>
      <c r="E1" s="23"/>
      <c r="F1" s="23"/>
      <c r="G1" s="23"/>
      <c r="H1" s="23"/>
    </row>
    <row r="3" spans="1:8" x14ac:dyDescent="0.3">
      <c r="A3" s="22" t="s">
        <v>999</v>
      </c>
      <c r="B3" s="23"/>
      <c r="C3" s="23"/>
      <c r="D3" s="23"/>
      <c r="E3" s="23"/>
      <c r="F3" s="23"/>
      <c r="G3" s="23"/>
      <c r="H3" s="23"/>
    </row>
    <row r="4" spans="1:8" x14ac:dyDescent="0.3">
      <c r="A4" s="1" t="s">
        <v>1000</v>
      </c>
      <c r="B4" s="1" t="s">
        <v>1001</v>
      </c>
    </row>
    <row r="5" spans="1:8" x14ac:dyDescent="0.3">
      <c r="A5" s="2" t="s">
        <v>1002</v>
      </c>
      <c r="B5" s="2" t="s">
        <v>1003</v>
      </c>
    </row>
    <row r="6" spans="1:8" x14ac:dyDescent="0.3">
      <c r="A6" s="2" t="s">
        <v>1004</v>
      </c>
      <c r="B6" s="2" t="s">
        <v>1005</v>
      </c>
    </row>
    <row r="7" spans="1:8" x14ac:dyDescent="0.3">
      <c r="A7" s="2" t="s">
        <v>1006</v>
      </c>
      <c r="B7" s="2" t="s">
        <v>1007</v>
      </c>
    </row>
    <row r="8" spans="1:8" x14ac:dyDescent="0.3">
      <c r="A8" s="2" t="s">
        <v>1008</v>
      </c>
      <c r="B8" s="2" t="s">
        <v>1009</v>
      </c>
    </row>
    <row r="9" spans="1:8" x14ac:dyDescent="0.3">
      <c r="A9" s="2" t="s">
        <v>1010</v>
      </c>
      <c r="B9" s="2" t="s">
        <v>1011</v>
      </c>
    </row>
    <row r="11" spans="1:8" x14ac:dyDescent="0.3">
      <c r="A11" s="22" t="s">
        <v>1012</v>
      </c>
      <c r="B11" s="23"/>
      <c r="C11" s="23"/>
      <c r="D11" s="23"/>
      <c r="E11" s="23"/>
      <c r="F11" s="23"/>
      <c r="G11" s="23"/>
      <c r="H11" s="23"/>
    </row>
    <row r="12" spans="1:8" x14ac:dyDescent="0.3">
      <c r="A12" s="1" t="s">
        <v>1013</v>
      </c>
      <c r="B12" s="1" t="s">
        <v>1014</v>
      </c>
    </row>
    <row r="13" spans="1:8" ht="28.8" x14ac:dyDescent="0.3">
      <c r="A13" s="2" t="s">
        <v>1015</v>
      </c>
      <c r="B13" s="2" t="s">
        <v>1016</v>
      </c>
    </row>
    <row r="14" spans="1:8" x14ac:dyDescent="0.3">
      <c r="A14" s="2" t="s">
        <v>1017</v>
      </c>
      <c r="B14" s="2" t="s">
        <v>1018</v>
      </c>
    </row>
    <row r="15" spans="1:8" ht="28.8" x14ac:dyDescent="0.3">
      <c r="A15" s="2" t="s">
        <v>1019</v>
      </c>
      <c r="B15" s="2" t="s">
        <v>1020</v>
      </c>
    </row>
    <row r="16" spans="1:8" x14ac:dyDescent="0.3">
      <c r="A16" s="2" t="s">
        <v>1021</v>
      </c>
      <c r="B16" s="2" t="s">
        <v>1022</v>
      </c>
    </row>
    <row r="17" spans="1:8" x14ac:dyDescent="0.3">
      <c r="A17" s="2" t="s">
        <v>1023</v>
      </c>
      <c r="B17" s="2" t="s">
        <v>1024</v>
      </c>
    </row>
    <row r="18" spans="1:8" ht="28.8" x14ac:dyDescent="0.3">
      <c r="A18" s="2" t="s">
        <v>1025</v>
      </c>
      <c r="B18" s="2" t="s">
        <v>1026</v>
      </c>
    </row>
    <row r="20" spans="1:8" x14ac:dyDescent="0.3">
      <c r="A20" s="22" t="s">
        <v>1027</v>
      </c>
      <c r="B20" s="23"/>
      <c r="C20" s="23"/>
      <c r="D20" s="23"/>
      <c r="E20" s="23"/>
      <c r="F20" s="23"/>
      <c r="G20" s="23"/>
      <c r="H20" s="23"/>
    </row>
    <row r="21" spans="1:8" x14ac:dyDescent="0.3">
      <c r="A21" s="1" t="s">
        <v>969</v>
      </c>
      <c r="B21" s="1" t="s">
        <v>1028</v>
      </c>
      <c r="C21" s="1" t="s">
        <v>125</v>
      </c>
    </row>
    <row r="22" spans="1:8" x14ac:dyDescent="0.3">
      <c r="A22" s="2">
        <v>1</v>
      </c>
      <c r="B22" s="2">
        <f>SUM(D5:D9)</f>
        <v>0</v>
      </c>
      <c r="C22" s="2" t="s">
        <v>133</v>
      </c>
    </row>
    <row r="23" spans="1:8" x14ac:dyDescent="0.3">
      <c r="A23" s="2">
        <v>2</v>
      </c>
      <c r="B23" s="2" t="str">
        <f>IF(B6=0,"Closed","Active")</f>
        <v>Active</v>
      </c>
      <c r="C23" s="2" t="s">
        <v>245</v>
      </c>
    </row>
    <row r="24" spans="1:8" x14ac:dyDescent="0.3">
      <c r="A24" s="2">
        <v>3</v>
      </c>
      <c r="B24" s="2" t="str">
        <f>TRIM(D5)</f>
        <v/>
      </c>
      <c r="C24" s="2" t="s">
        <v>376</v>
      </c>
    </row>
    <row r="25" spans="1:8" x14ac:dyDescent="0.3">
      <c r="A25" s="2">
        <v>4</v>
      </c>
      <c r="B25" s="2">
        <f>SUMIFS(D5:D10,A5:A10,"North",E5:E10,"Late")</f>
        <v>0</v>
      </c>
      <c r="C25" s="2" t="s">
        <v>655</v>
      </c>
    </row>
    <row r="26" spans="1:8" x14ac:dyDescent="0.3">
      <c r="A26" s="2">
        <v>5</v>
      </c>
      <c r="B26" s="2" t="e">
        <f>VLOOKUP(I8,A5:E9,2,FALSE)</f>
        <v>#N/A</v>
      </c>
      <c r="C26" s="2" t="s">
        <v>36</v>
      </c>
    </row>
    <row r="27" spans="1:8" x14ac:dyDescent="0.3">
      <c r="A27" s="2">
        <v>6</v>
      </c>
      <c r="B27" s="2" t="e">
        <f>DATEDIF(B5,C5,"m")</f>
        <v>#VALUE!</v>
      </c>
      <c r="C27" s="2" t="s">
        <v>532</v>
      </c>
    </row>
    <row r="28" spans="1:8" ht="28.8" x14ac:dyDescent="0.3">
      <c r="A28" s="2">
        <v>7</v>
      </c>
      <c r="B28" s="2"/>
      <c r="C28" s="2" t="s">
        <v>1029</v>
      </c>
    </row>
    <row r="29" spans="1:8" x14ac:dyDescent="0.3">
      <c r="A29" s="2">
        <v>8</v>
      </c>
      <c r="B29" s="2" t="e">
        <f ca="1">_xludf.SCAN(0,C5:C11,_xludf.LAMBDA(a,v,a+v))</f>
        <v>#NAME?</v>
      </c>
      <c r="C29" s="2" t="s">
        <v>1030</v>
      </c>
    </row>
    <row r="30" spans="1:8" ht="28.8" x14ac:dyDescent="0.3">
      <c r="A30" s="2">
        <v>9</v>
      </c>
      <c r="B30" s="2" t="s">
        <v>1031</v>
      </c>
      <c r="C30" s="2" t="s">
        <v>1032</v>
      </c>
    </row>
    <row r="32" spans="1:8" x14ac:dyDescent="0.3">
      <c r="A32" s="24" t="s">
        <v>1033</v>
      </c>
      <c r="B32" s="23"/>
      <c r="C32" s="23"/>
      <c r="D32" s="23"/>
      <c r="E32" s="23"/>
      <c r="F32" s="23"/>
      <c r="G32" s="23"/>
      <c r="H32" s="23"/>
    </row>
  </sheetData>
  <mergeCells count="5">
    <mergeCell ref="A3:H3"/>
    <mergeCell ref="A20:H20"/>
    <mergeCell ref="A11:H11"/>
    <mergeCell ref="A1:H1"/>
    <mergeCell ref="A32:H32"/>
  </mergeCells>
  <pageMargins left="0.75" right="0.75" top="1" bottom="1" header="0.5" footer="0.5"/>
  <tableParts count="3">
    <tablePart r:id="rId1"/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5"/>
  <sheetViews>
    <sheetView zoomScale="145" zoomScaleNormal="145" workbookViewId="0">
      <pane ySplit="10" topLeftCell="A24" activePane="bottomLeft" state="frozen"/>
      <selection pane="bottomLeft" activeCell="F5" sqref="F5"/>
    </sheetView>
  </sheetViews>
  <sheetFormatPr defaultRowHeight="14.4" x14ac:dyDescent="0.3"/>
  <cols>
    <col min="1" max="1" width="13" customWidth="1"/>
    <col min="2" max="2" width="14" customWidth="1"/>
    <col min="3" max="3" width="12" customWidth="1"/>
    <col min="4" max="5" width="14" customWidth="1"/>
    <col min="6" max="6" width="22" customWidth="1"/>
    <col min="7" max="7" width="16" customWidth="1"/>
    <col min="8" max="8" width="18" customWidth="1"/>
    <col min="9" max="9" width="30" customWidth="1"/>
    <col min="10" max="10" width="28" customWidth="1"/>
    <col min="11" max="11" width="24" customWidth="1"/>
  </cols>
  <sheetData>
    <row r="1" spans="1:11" ht="24" customHeight="1" x14ac:dyDescent="0.3">
      <c r="A1" s="25" t="s">
        <v>111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3" spans="1:11" x14ac:dyDescent="0.3">
      <c r="A3" s="22" t="s">
        <v>112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1" ht="28.8" x14ac:dyDescent="0.3">
      <c r="A4" s="1" t="s">
        <v>29</v>
      </c>
      <c r="B4" s="1" t="s">
        <v>113</v>
      </c>
      <c r="C4" s="1" t="s">
        <v>114</v>
      </c>
      <c r="D4" s="1" t="s">
        <v>115</v>
      </c>
      <c r="F4">
        <f>SUM(MathData[Account Count])</f>
        <v>80</v>
      </c>
    </row>
    <row r="5" spans="1:11" x14ac:dyDescent="0.3">
      <c r="A5" s="2" t="s">
        <v>35</v>
      </c>
      <c r="B5" s="2" t="s">
        <v>116</v>
      </c>
      <c r="C5" s="2">
        <v>12</v>
      </c>
      <c r="D5" s="2">
        <v>2400</v>
      </c>
      <c r="F5">
        <f>SUBTOTAL(9,MathData[Account Count])</f>
        <v>80</v>
      </c>
      <c r="G5">
        <f>ROUND(F5,0)</f>
        <v>80</v>
      </c>
    </row>
    <row r="6" spans="1:11" x14ac:dyDescent="0.3">
      <c r="A6" s="2" t="s">
        <v>39</v>
      </c>
      <c r="B6" s="2" t="s">
        <v>117</v>
      </c>
      <c r="C6" s="2">
        <v>8</v>
      </c>
      <c r="D6" s="2">
        <v>1680</v>
      </c>
    </row>
    <row r="7" spans="1:11" x14ac:dyDescent="0.3">
      <c r="A7" s="2" t="s">
        <v>43</v>
      </c>
      <c r="B7" s="2" t="s">
        <v>118</v>
      </c>
      <c r="C7" s="2">
        <v>20</v>
      </c>
      <c r="D7" s="2">
        <v>1100</v>
      </c>
    </row>
    <row r="8" spans="1:11" x14ac:dyDescent="0.3">
      <c r="A8" s="2" t="s">
        <v>35</v>
      </c>
      <c r="B8" s="2" t="s">
        <v>119</v>
      </c>
      <c r="C8" s="2">
        <v>15</v>
      </c>
      <c r="D8" s="2">
        <v>900</v>
      </c>
    </row>
    <row r="9" spans="1:11" x14ac:dyDescent="0.3">
      <c r="A9" s="2" t="s">
        <v>47</v>
      </c>
      <c r="B9" s="2" t="s">
        <v>120</v>
      </c>
      <c r="C9" s="2">
        <v>25</v>
      </c>
      <c r="D9" s="2">
        <v>1250</v>
      </c>
    </row>
    <row r="11" spans="1:11" ht="28.8" x14ac:dyDescent="0.3">
      <c r="A11" s="1" t="s">
        <v>121</v>
      </c>
      <c r="B11" s="1" t="s">
        <v>17</v>
      </c>
      <c r="C11" s="1" t="s">
        <v>122</v>
      </c>
      <c r="D11" s="1" t="s">
        <v>4</v>
      </c>
      <c r="E11" s="1" t="s">
        <v>123</v>
      </c>
      <c r="F11" s="1" t="s">
        <v>124</v>
      </c>
      <c r="G11" s="1" t="s">
        <v>53</v>
      </c>
      <c r="H11" s="1" t="s">
        <v>125</v>
      </c>
      <c r="I11" s="1" t="s">
        <v>126</v>
      </c>
      <c r="J11" s="1" t="s">
        <v>127</v>
      </c>
      <c r="K11" s="1" t="s">
        <v>55</v>
      </c>
    </row>
    <row r="12" spans="1:11" ht="28.8" x14ac:dyDescent="0.3">
      <c r="A12" s="2" t="s">
        <v>128</v>
      </c>
      <c r="B12" s="8" t="s">
        <v>19</v>
      </c>
      <c r="C12" s="2" t="s">
        <v>129</v>
      </c>
      <c r="D12" s="2" t="s">
        <v>130</v>
      </c>
      <c r="E12" s="2" t="s">
        <v>131</v>
      </c>
      <c r="F12" s="9" t="s">
        <v>132</v>
      </c>
      <c r="G12" s="10">
        <f>SUM(D5:D9)</f>
        <v>7330</v>
      </c>
      <c r="H12" s="10" t="s">
        <v>133</v>
      </c>
      <c r="I12" s="2" t="s">
        <v>134</v>
      </c>
      <c r="J12" s="2" t="s">
        <v>135</v>
      </c>
      <c r="K12" s="2" t="s">
        <v>136</v>
      </c>
    </row>
    <row r="13" spans="1:11" ht="28.8" x14ac:dyDescent="0.3">
      <c r="A13" s="2" t="s">
        <v>128</v>
      </c>
      <c r="B13" s="8" t="s">
        <v>19</v>
      </c>
      <c r="C13" s="2" t="s">
        <v>137</v>
      </c>
      <c r="D13" s="2" t="s">
        <v>138</v>
      </c>
      <c r="E13" s="2" t="s">
        <v>139</v>
      </c>
      <c r="F13" s="9" t="s">
        <v>140</v>
      </c>
      <c r="G13" s="10">
        <f>AVERAGE(D5:D9)</f>
        <v>1466</v>
      </c>
      <c r="H13" s="10" t="s">
        <v>141</v>
      </c>
      <c r="I13" s="2" t="s">
        <v>142</v>
      </c>
      <c r="J13" s="2" t="s">
        <v>143</v>
      </c>
      <c r="K13" s="2" t="s">
        <v>144</v>
      </c>
    </row>
    <row r="14" spans="1:11" ht="28.8" x14ac:dyDescent="0.3">
      <c r="A14" s="2" t="s">
        <v>128</v>
      </c>
      <c r="B14" s="8" t="s">
        <v>19</v>
      </c>
      <c r="C14" s="2" t="s">
        <v>145</v>
      </c>
      <c r="D14" s="2" t="s">
        <v>146</v>
      </c>
      <c r="E14" s="2" t="s">
        <v>147</v>
      </c>
      <c r="F14" s="9" t="s">
        <v>148</v>
      </c>
      <c r="G14" s="10">
        <f>MIN(D5:D9)</f>
        <v>900</v>
      </c>
      <c r="H14" s="10" t="s">
        <v>149</v>
      </c>
      <c r="I14" s="2" t="s">
        <v>150</v>
      </c>
      <c r="J14" s="2" t="s">
        <v>151</v>
      </c>
      <c r="K14" s="2" t="s">
        <v>152</v>
      </c>
    </row>
    <row r="15" spans="1:11" x14ac:dyDescent="0.3">
      <c r="A15" s="2" t="s">
        <v>128</v>
      </c>
      <c r="B15" s="8" t="s">
        <v>19</v>
      </c>
      <c r="C15" s="2" t="s">
        <v>153</v>
      </c>
      <c r="D15" s="2" t="s">
        <v>154</v>
      </c>
      <c r="E15" s="2" t="s">
        <v>155</v>
      </c>
      <c r="F15" s="9" t="s">
        <v>156</v>
      </c>
      <c r="G15" s="10">
        <f>MAX(D5:D9)</f>
        <v>2400</v>
      </c>
      <c r="H15" s="10" t="s">
        <v>157</v>
      </c>
      <c r="I15" s="2" t="s">
        <v>158</v>
      </c>
      <c r="J15" s="2" t="s">
        <v>159</v>
      </c>
      <c r="K15" s="2" t="s">
        <v>160</v>
      </c>
    </row>
    <row r="16" spans="1:11" ht="28.8" x14ac:dyDescent="0.3">
      <c r="A16" s="2" t="s">
        <v>128</v>
      </c>
      <c r="B16" s="8" t="s">
        <v>19</v>
      </c>
      <c r="C16" s="2" t="s">
        <v>161</v>
      </c>
      <c r="D16" s="2" t="s">
        <v>162</v>
      </c>
      <c r="E16" s="2" t="s">
        <v>163</v>
      </c>
      <c r="F16" s="9" t="s">
        <v>164</v>
      </c>
      <c r="G16" s="10">
        <f>COUNT(D5:D9)</f>
        <v>5</v>
      </c>
      <c r="H16" s="10" t="s">
        <v>165</v>
      </c>
      <c r="I16" s="2" t="s">
        <v>166</v>
      </c>
      <c r="J16" s="2" t="s">
        <v>167</v>
      </c>
      <c r="K16" s="2" t="s">
        <v>168</v>
      </c>
    </row>
    <row r="17" spans="1:11" ht="28.8" x14ac:dyDescent="0.3">
      <c r="A17" s="2" t="s">
        <v>128</v>
      </c>
      <c r="B17" s="8" t="s">
        <v>19</v>
      </c>
      <c r="C17" s="2" t="s">
        <v>169</v>
      </c>
      <c r="D17" s="2" t="s">
        <v>170</v>
      </c>
      <c r="E17" s="2" t="s">
        <v>171</v>
      </c>
      <c r="F17" s="9" t="s">
        <v>172</v>
      </c>
      <c r="G17" s="10">
        <f>COUNTA(B5:B9)</f>
        <v>5</v>
      </c>
      <c r="H17" s="10" t="s">
        <v>165</v>
      </c>
      <c r="I17" s="2" t="s">
        <v>173</v>
      </c>
      <c r="J17" s="2" t="s">
        <v>174</v>
      </c>
      <c r="K17" s="2" t="s">
        <v>175</v>
      </c>
    </row>
    <row r="18" spans="1:11" ht="28.8" x14ac:dyDescent="0.3">
      <c r="A18" s="2" t="s">
        <v>128</v>
      </c>
      <c r="B18" s="11" t="s">
        <v>21</v>
      </c>
      <c r="C18" s="2" t="s">
        <v>176</v>
      </c>
      <c r="D18" s="2" t="s">
        <v>177</v>
      </c>
      <c r="E18" s="2" t="s">
        <v>178</v>
      </c>
      <c r="F18" s="9" t="s">
        <v>179</v>
      </c>
      <c r="G18" s="10">
        <f>ROUND(D5/C5,2)</f>
        <v>200</v>
      </c>
      <c r="H18" s="10" t="s">
        <v>180</v>
      </c>
      <c r="I18" s="2" t="s">
        <v>181</v>
      </c>
      <c r="J18" s="2" t="s">
        <v>182</v>
      </c>
      <c r="K18" s="2" t="s">
        <v>183</v>
      </c>
    </row>
    <row r="19" spans="1:11" ht="28.8" x14ac:dyDescent="0.3">
      <c r="A19" s="2" t="s">
        <v>128</v>
      </c>
      <c r="B19" s="11" t="s">
        <v>21</v>
      </c>
      <c r="C19" s="2" t="s">
        <v>184</v>
      </c>
      <c r="D19" s="2" t="s">
        <v>185</v>
      </c>
      <c r="E19" s="2" t="s">
        <v>186</v>
      </c>
      <c r="F19" s="9" t="s">
        <v>187</v>
      </c>
      <c r="G19" s="10">
        <f>ROUNDUP(D6/C6,0)</f>
        <v>210</v>
      </c>
      <c r="H19" s="10" t="s">
        <v>188</v>
      </c>
      <c r="I19" s="2" t="s">
        <v>189</v>
      </c>
      <c r="J19" s="2" t="s">
        <v>190</v>
      </c>
      <c r="K19" s="2" t="s">
        <v>191</v>
      </c>
    </row>
    <row r="20" spans="1:11" ht="43.2" x14ac:dyDescent="0.3">
      <c r="A20" s="2" t="s">
        <v>128</v>
      </c>
      <c r="B20" s="11" t="s">
        <v>21</v>
      </c>
      <c r="C20" s="2" t="s">
        <v>192</v>
      </c>
      <c r="D20" s="2" t="s">
        <v>193</v>
      </c>
      <c r="E20" s="2" t="s">
        <v>194</v>
      </c>
      <c r="F20" s="9" t="s">
        <v>195</v>
      </c>
      <c r="G20" s="10">
        <f>ROUNDDOWN(D6/C6,0)</f>
        <v>210</v>
      </c>
      <c r="H20" s="10" t="s">
        <v>188</v>
      </c>
      <c r="I20" s="2" t="s">
        <v>196</v>
      </c>
      <c r="J20" s="2" t="s">
        <v>197</v>
      </c>
      <c r="K20" s="2" t="s">
        <v>198</v>
      </c>
    </row>
    <row r="21" spans="1:11" ht="28.8" x14ac:dyDescent="0.3">
      <c r="A21" s="2" t="s">
        <v>128</v>
      </c>
      <c r="B21" s="11" t="s">
        <v>21</v>
      </c>
      <c r="C21" s="2" t="s">
        <v>199</v>
      </c>
      <c r="D21" s="2" t="s">
        <v>200</v>
      </c>
      <c r="E21" s="2" t="s">
        <v>201</v>
      </c>
      <c r="F21" s="9" t="s">
        <v>202</v>
      </c>
      <c r="G21" s="10">
        <f>LARGE(D5:D9,2)</f>
        <v>1680</v>
      </c>
      <c r="H21" s="10" t="s">
        <v>203</v>
      </c>
      <c r="I21" s="2" t="s">
        <v>204</v>
      </c>
      <c r="J21" s="2" t="s">
        <v>205</v>
      </c>
      <c r="K21" s="2" t="s">
        <v>206</v>
      </c>
    </row>
    <row r="22" spans="1:11" ht="28.8" x14ac:dyDescent="0.3">
      <c r="A22" s="2" t="s">
        <v>128</v>
      </c>
      <c r="B22" s="11" t="s">
        <v>21</v>
      </c>
      <c r="C22" s="2" t="s">
        <v>207</v>
      </c>
      <c r="D22" s="2" t="s">
        <v>208</v>
      </c>
      <c r="E22" s="2" t="s">
        <v>209</v>
      </c>
      <c r="F22" s="9" t="s">
        <v>210</v>
      </c>
      <c r="G22" s="10">
        <f>SMALL(D5:D9,2)</f>
        <v>1100</v>
      </c>
      <c r="H22" s="10" t="s">
        <v>211</v>
      </c>
      <c r="I22" s="2" t="s">
        <v>212</v>
      </c>
      <c r="J22" s="2" t="s">
        <v>213</v>
      </c>
      <c r="K22" s="2" t="s">
        <v>214</v>
      </c>
    </row>
    <row r="23" spans="1:11" ht="28.8" x14ac:dyDescent="0.3">
      <c r="A23" s="2" t="s">
        <v>128</v>
      </c>
      <c r="B23" s="11" t="s">
        <v>21</v>
      </c>
      <c r="C23" s="2" t="s">
        <v>215</v>
      </c>
      <c r="D23" s="2" t="s">
        <v>216</v>
      </c>
      <c r="E23" s="2" t="s">
        <v>217</v>
      </c>
      <c r="F23" s="9" t="s">
        <v>218</v>
      </c>
      <c r="G23" s="10">
        <f>MEDIAN(D5:D9)</f>
        <v>1250</v>
      </c>
      <c r="H23" s="10" t="s">
        <v>219</v>
      </c>
      <c r="I23" s="2" t="s">
        <v>220</v>
      </c>
      <c r="J23" s="2" t="s">
        <v>221</v>
      </c>
      <c r="K23" s="2" t="s">
        <v>222</v>
      </c>
    </row>
    <row r="24" spans="1:11" ht="28.8" x14ac:dyDescent="0.3">
      <c r="A24" s="2" t="s">
        <v>128</v>
      </c>
      <c r="B24" s="11" t="s">
        <v>21</v>
      </c>
      <c r="C24" s="2" t="s">
        <v>223</v>
      </c>
      <c r="D24" s="2" t="s">
        <v>224</v>
      </c>
      <c r="E24" s="2" t="s">
        <v>225</v>
      </c>
      <c r="F24" s="9" t="s">
        <v>226</v>
      </c>
      <c r="G24" s="10" t="e">
        <f ca="1">_xludf.RANK.EQ(D5,D5:D9)</f>
        <v>#NAME?</v>
      </c>
      <c r="H24" s="10" t="s">
        <v>227</v>
      </c>
      <c r="I24" s="2" t="s">
        <v>228</v>
      </c>
      <c r="J24" s="2" t="s">
        <v>229</v>
      </c>
      <c r="K24" s="2" t="s">
        <v>230</v>
      </c>
    </row>
    <row r="25" spans="1:11" ht="43.2" x14ac:dyDescent="0.3">
      <c r="A25" s="2" t="s">
        <v>128</v>
      </c>
      <c r="B25" s="11" t="s">
        <v>21</v>
      </c>
      <c r="C25" s="2" t="s">
        <v>231</v>
      </c>
      <c r="D25" s="2" t="s">
        <v>232</v>
      </c>
      <c r="E25" s="2" t="s">
        <v>233</v>
      </c>
      <c r="F25" s="9" t="s">
        <v>234</v>
      </c>
      <c r="G25" s="10">
        <f>SUBTOTAL(9,D5:D9)</f>
        <v>7330</v>
      </c>
      <c r="H25" s="10" t="s">
        <v>235</v>
      </c>
      <c r="I25" s="2" t="s">
        <v>236</v>
      </c>
      <c r="J25" s="2" t="s">
        <v>237</v>
      </c>
      <c r="K25" s="2" t="s">
        <v>238</v>
      </c>
    </row>
  </sheetData>
  <mergeCells count="2">
    <mergeCell ref="A1:K1"/>
    <mergeCell ref="A3:K3"/>
  </mergeCells>
  <pageMargins left="0.75" right="0.75" top="1" bottom="1" header="0.5" footer="0.5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0"/>
  <sheetViews>
    <sheetView zoomScale="130" zoomScaleNormal="130" workbookViewId="0">
      <pane ySplit="10" topLeftCell="A18" activePane="bottomLeft" state="frozen"/>
      <selection pane="bottomLeft" activeCell="G20" sqref="G20"/>
    </sheetView>
  </sheetViews>
  <sheetFormatPr defaultRowHeight="14.4" x14ac:dyDescent="0.3"/>
  <cols>
    <col min="1" max="5" width="14" customWidth="1"/>
    <col min="6" max="6" width="22" customWidth="1"/>
    <col min="7" max="7" width="16" customWidth="1"/>
    <col min="8" max="8" width="18" customWidth="1"/>
    <col min="9" max="9" width="30" customWidth="1"/>
    <col min="10" max="10" width="28" customWidth="1"/>
    <col min="11" max="11" width="24" customWidth="1"/>
  </cols>
  <sheetData>
    <row r="1" spans="1:11" ht="24" customHeight="1" x14ac:dyDescent="0.3">
      <c r="A1" s="25" t="s">
        <v>239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3" spans="1:11" x14ac:dyDescent="0.3">
      <c r="A3" s="22" t="s">
        <v>240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1" ht="28.8" x14ac:dyDescent="0.3">
      <c r="A4" s="1" t="s">
        <v>28</v>
      </c>
      <c r="B4" s="1" t="s">
        <v>241</v>
      </c>
      <c r="C4" s="1" t="s">
        <v>242</v>
      </c>
      <c r="D4" s="1" t="s">
        <v>243</v>
      </c>
    </row>
    <row r="5" spans="1:11" x14ac:dyDescent="0.3">
      <c r="A5" s="2" t="s">
        <v>34</v>
      </c>
      <c r="B5" s="2">
        <v>5000</v>
      </c>
      <c r="C5" s="2">
        <v>5</v>
      </c>
      <c r="D5" s="2" t="s">
        <v>244</v>
      </c>
      <c r="E5">
        <v>5</v>
      </c>
      <c r="F5">
        <v>10</v>
      </c>
      <c r="G5">
        <f>IFERROR(F5/E5,"Data Mismatch")</f>
        <v>2</v>
      </c>
    </row>
    <row r="6" spans="1:11" x14ac:dyDescent="0.3">
      <c r="A6" s="2" t="s">
        <v>38</v>
      </c>
      <c r="B6" s="2">
        <v>0</v>
      </c>
      <c r="C6" s="2">
        <v>0</v>
      </c>
      <c r="D6" s="2" t="s">
        <v>245</v>
      </c>
    </row>
    <row r="7" spans="1:11" x14ac:dyDescent="0.3">
      <c r="A7" s="2" t="s">
        <v>42</v>
      </c>
      <c r="B7" s="2">
        <v>8000</v>
      </c>
      <c r="C7" s="2">
        <v>35</v>
      </c>
      <c r="D7" s="2" t="s">
        <v>37</v>
      </c>
    </row>
    <row r="8" spans="1:11" x14ac:dyDescent="0.3">
      <c r="A8" s="2" t="s">
        <v>45</v>
      </c>
      <c r="B8" s="2">
        <v>15000</v>
      </c>
      <c r="C8" s="2">
        <v>62</v>
      </c>
      <c r="D8" s="2" t="s">
        <v>244</v>
      </c>
    </row>
    <row r="9" spans="1:11" x14ac:dyDescent="0.3">
      <c r="A9" s="2" t="s">
        <v>46</v>
      </c>
      <c r="B9" s="2">
        <v>4500</v>
      </c>
      <c r="C9" s="2">
        <v>18</v>
      </c>
      <c r="D9" s="2" t="s">
        <v>244</v>
      </c>
    </row>
    <row r="11" spans="1:11" ht="28.8" x14ac:dyDescent="0.3">
      <c r="A11" s="1" t="s">
        <v>121</v>
      </c>
      <c r="B11" s="1" t="s">
        <v>17</v>
      </c>
      <c r="C11" s="1" t="s">
        <v>122</v>
      </c>
      <c r="D11" s="1" t="s">
        <v>4</v>
      </c>
      <c r="E11" s="1" t="s">
        <v>123</v>
      </c>
      <c r="F11" s="1" t="s">
        <v>124</v>
      </c>
      <c r="G11" s="1" t="s">
        <v>53</v>
      </c>
      <c r="H11" s="1" t="s">
        <v>125</v>
      </c>
      <c r="I11" s="1" t="s">
        <v>126</v>
      </c>
      <c r="J11" s="1" t="s">
        <v>127</v>
      </c>
      <c r="K11" s="1" t="s">
        <v>55</v>
      </c>
    </row>
    <row r="12" spans="1:11" ht="57.6" x14ac:dyDescent="0.3">
      <c r="A12" s="2" t="s">
        <v>246</v>
      </c>
      <c r="B12" s="8" t="s">
        <v>19</v>
      </c>
      <c r="C12" s="2" t="s">
        <v>247</v>
      </c>
      <c r="D12" s="2" t="s">
        <v>248</v>
      </c>
      <c r="E12" s="2" t="s">
        <v>249</v>
      </c>
      <c r="F12" s="9" t="s">
        <v>250</v>
      </c>
      <c r="G12" s="10" t="str">
        <f>IF(B6=0,"Closed","Active")</f>
        <v>Closed</v>
      </c>
      <c r="H12" s="10" t="s">
        <v>245</v>
      </c>
      <c r="I12" s="2" t="s">
        <v>251</v>
      </c>
      <c r="J12" s="2" t="s">
        <v>252</v>
      </c>
      <c r="K12" s="2" t="s">
        <v>253</v>
      </c>
    </row>
    <row r="13" spans="1:11" ht="43.2" x14ac:dyDescent="0.3">
      <c r="A13" s="2" t="s">
        <v>246</v>
      </c>
      <c r="B13" s="8" t="s">
        <v>19</v>
      </c>
      <c r="C13" s="2" t="s">
        <v>247</v>
      </c>
      <c r="D13" s="2" t="s">
        <v>254</v>
      </c>
      <c r="E13" s="2" t="s">
        <v>249</v>
      </c>
      <c r="F13" s="9" t="s">
        <v>255</v>
      </c>
      <c r="G13" s="10" t="str">
        <f>IF(C5&gt;30,"Late","On Time")</f>
        <v>On Time</v>
      </c>
      <c r="H13" s="10" t="s">
        <v>256</v>
      </c>
      <c r="I13" s="2" t="s">
        <v>257</v>
      </c>
      <c r="J13" s="2" t="s">
        <v>258</v>
      </c>
      <c r="K13" s="2" t="s">
        <v>259</v>
      </c>
    </row>
    <row r="14" spans="1:11" ht="52.8" x14ac:dyDescent="0.3">
      <c r="A14" s="2" t="s">
        <v>246</v>
      </c>
      <c r="B14" s="11" t="s">
        <v>21</v>
      </c>
      <c r="C14" s="2" t="s">
        <v>260</v>
      </c>
      <c r="D14" s="2" t="s">
        <v>261</v>
      </c>
      <c r="E14" s="2" t="s">
        <v>262</v>
      </c>
      <c r="F14" s="9" t="s">
        <v>263</v>
      </c>
      <c r="G14" s="10" t="e">
        <f ca="1">_xludf.IFS(C5=0,"Current",C5&lt;=30,"Watch",C5&lt;=60,"Late",TRUE,"Critical")</f>
        <v>#NAME?</v>
      </c>
      <c r="H14" s="10" t="s">
        <v>264</v>
      </c>
      <c r="I14" s="2" t="s">
        <v>265</v>
      </c>
      <c r="J14" s="2" t="s">
        <v>266</v>
      </c>
      <c r="K14" s="2" t="s">
        <v>267</v>
      </c>
    </row>
    <row r="15" spans="1:11" ht="43.2" x14ac:dyDescent="0.3">
      <c r="A15" s="2" t="s">
        <v>246</v>
      </c>
      <c r="B15" s="11" t="s">
        <v>21</v>
      </c>
      <c r="C15" s="2" t="s">
        <v>268</v>
      </c>
      <c r="D15" s="2" t="s">
        <v>269</v>
      </c>
      <c r="E15" s="2" t="s">
        <v>270</v>
      </c>
      <c r="F15" s="9" t="s">
        <v>271</v>
      </c>
      <c r="G15" s="10" t="b">
        <f>AND(B8&gt;0,C8&gt;30)</f>
        <v>1</v>
      </c>
      <c r="H15" s="10" t="s">
        <v>272</v>
      </c>
      <c r="I15" s="2" t="s">
        <v>273</v>
      </c>
      <c r="J15" s="2" t="s">
        <v>274</v>
      </c>
      <c r="K15" s="2" t="s">
        <v>275</v>
      </c>
    </row>
    <row r="16" spans="1:11" ht="43.2" x14ac:dyDescent="0.3">
      <c r="A16" s="2" t="s">
        <v>246</v>
      </c>
      <c r="B16" s="11" t="s">
        <v>21</v>
      </c>
      <c r="C16" s="2" t="s">
        <v>276</v>
      </c>
      <c r="D16" s="2" t="s">
        <v>277</v>
      </c>
      <c r="E16" s="2" t="s">
        <v>278</v>
      </c>
      <c r="F16" s="9" t="s">
        <v>279</v>
      </c>
      <c r="G16" s="10" t="b">
        <f>OR(B6&gt;0,C6&gt;0)</f>
        <v>0</v>
      </c>
      <c r="H16" s="10" t="s">
        <v>280</v>
      </c>
      <c r="I16" s="2" t="s">
        <v>281</v>
      </c>
      <c r="J16" s="2" t="s">
        <v>282</v>
      </c>
      <c r="K16" s="2" t="s">
        <v>283</v>
      </c>
    </row>
    <row r="17" spans="1:11" ht="28.8" x14ac:dyDescent="0.3">
      <c r="A17" s="2" t="s">
        <v>246</v>
      </c>
      <c r="B17" s="11" t="s">
        <v>21</v>
      </c>
      <c r="C17" s="2" t="s">
        <v>284</v>
      </c>
      <c r="D17" s="2" t="s">
        <v>285</v>
      </c>
      <c r="E17" s="2" t="s">
        <v>286</v>
      </c>
      <c r="F17" s="9" t="s">
        <v>287</v>
      </c>
      <c r="G17" s="10" t="b">
        <f>NOT(D6="Approved")</f>
        <v>1</v>
      </c>
      <c r="H17" s="10" t="s">
        <v>272</v>
      </c>
      <c r="I17" s="2" t="s">
        <v>288</v>
      </c>
      <c r="J17" s="2" t="s">
        <v>289</v>
      </c>
      <c r="K17" s="2" t="s">
        <v>290</v>
      </c>
    </row>
    <row r="18" spans="1:11" ht="28.8" x14ac:dyDescent="0.3">
      <c r="A18" s="2" t="s">
        <v>246</v>
      </c>
      <c r="B18" s="11" t="s">
        <v>21</v>
      </c>
      <c r="C18" s="2" t="s">
        <v>291</v>
      </c>
      <c r="D18" s="2" t="s">
        <v>292</v>
      </c>
      <c r="E18" s="2" t="s">
        <v>293</v>
      </c>
      <c r="F18" s="9" t="s">
        <v>294</v>
      </c>
      <c r="G18" s="10">
        <f>IFERROR(B6/C6,0)</f>
        <v>0</v>
      </c>
      <c r="H18" s="10" t="s">
        <v>295</v>
      </c>
      <c r="I18" s="2" t="s">
        <v>296</v>
      </c>
      <c r="J18" s="2" t="s">
        <v>297</v>
      </c>
      <c r="K18" s="2" t="s">
        <v>298</v>
      </c>
    </row>
    <row r="19" spans="1:11" ht="39.6" x14ac:dyDescent="0.3">
      <c r="A19" s="2" t="s">
        <v>246</v>
      </c>
      <c r="B19" s="11" t="s">
        <v>21</v>
      </c>
      <c r="C19" s="2" t="s">
        <v>299</v>
      </c>
      <c r="D19" s="2" t="s">
        <v>300</v>
      </c>
      <c r="E19" s="2" t="s">
        <v>301</v>
      </c>
      <c r="F19" s="9" t="s">
        <v>302</v>
      </c>
      <c r="G19" s="10" t="str">
        <f>_xlfn.IFNA(VLOOKUP("M999",A5:B9,2,FALSE),"Not Found")</f>
        <v>Not Found</v>
      </c>
      <c r="H19" s="10" t="s">
        <v>303</v>
      </c>
      <c r="I19" s="2" t="s">
        <v>304</v>
      </c>
      <c r="J19" s="2" t="s">
        <v>305</v>
      </c>
      <c r="K19" s="2" t="s">
        <v>306</v>
      </c>
    </row>
    <row r="20" spans="1:11" ht="52.8" x14ac:dyDescent="0.3">
      <c r="A20" s="2" t="s">
        <v>246</v>
      </c>
      <c r="B20" s="12" t="s">
        <v>23</v>
      </c>
      <c r="C20" s="2" t="s">
        <v>307</v>
      </c>
      <c r="D20" s="2" t="s">
        <v>308</v>
      </c>
      <c r="E20" s="2" t="s">
        <v>309</v>
      </c>
      <c r="F20" s="9" t="s">
        <v>310</v>
      </c>
      <c r="G20" s="10" t="str">
        <f>IF(C9&gt;60,"Critical",IF(C9&gt;30,"Late",IF(C9&gt;0,"Watch","Current")))</f>
        <v>Watch</v>
      </c>
      <c r="H20" s="10" t="s">
        <v>264</v>
      </c>
      <c r="I20" s="2" t="s">
        <v>311</v>
      </c>
      <c r="J20" s="2" t="s">
        <v>312</v>
      </c>
      <c r="K20" s="2" t="s">
        <v>313</v>
      </c>
    </row>
  </sheetData>
  <mergeCells count="2">
    <mergeCell ref="A1:K1"/>
    <mergeCell ref="A3:K3"/>
  </mergeCells>
  <pageMargins left="0.75" right="0.75" top="1" bottom="1" header="0.5" footer="0.5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6"/>
  <sheetViews>
    <sheetView zoomScale="145" zoomScaleNormal="145" workbookViewId="0">
      <selection activeCell="F5" sqref="F5"/>
    </sheetView>
  </sheetViews>
  <sheetFormatPr defaultRowHeight="14.4" x14ac:dyDescent="0.3"/>
  <cols>
    <col min="1" max="1" width="20" customWidth="1"/>
    <col min="2" max="3" width="18" customWidth="1"/>
    <col min="4" max="4" width="22" customWidth="1"/>
    <col min="5" max="5" width="16" customWidth="1"/>
    <col min="6" max="6" width="22" customWidth="1"/>
    <col min="7" max="7" width="16" customWidth="1"/>
    <col min="8" max="8" width="18" customWidth="1"/>
    <col min="9" max="9" width="30" customWidth="1"/>
    <col min="10" max="10" width="28" customWidth="1"/>
    <col min="11" max="11" width="24" customWidth="1"/>
  </cols>
  <sheetData>
    <row r="1" spans="1:11" ht="24" customHeight="1" x14ac:dyDescent="0.3">
      <c r="A1" s="25" t="s">
        <v>314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3" spans="1:11" x14ac:dyDescent="0.3">
      <c r="A3" s="22" t="s">
        <v>315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1" x14ac:dyDescent="0.3">
      <c r="A4" s="1" t="s">
        <v>316</v>
      </c>
      <c r="B4" s="1" t="s">
        <v>317</v>
      </c>
      <c r="C4" s="1" t="s">
        <v>318</v>
      </c>
      <c r="D4" s="1" t="s">
        <v>319</v>
      </c>
    </row>
    <row r="5" spans="1:11" x14ac:dyDescent="0.3">
      <c r="A5" s="2" t="s">
        <v>320</v>
      </c>
      <c r="B5" s="2" t="s">
        <v>321</v>
      </c>
      <c r="C5" s="2" t="s">
        <v>322</v>
      </c>
      <c r="D5" s="2" t="s">
        <v>323</v>
      </c>
      <c r="E5" s="27">
        <v>45292</v>
      </c>
      <c r="F5" t="str">
        <f>TEXT(E5,"YYYY-MM-DD")</f>
        <v>2024-01-01</v>
      </c>
    </row>
    <row r="6" spans="1:11" x14ac:dyDescent="0.3">
      <c r="A6" s="2" t="s">
        <v>324</v>
      </c>
      <c r="B6" s="2" t="s">
        <v>325</v>
      </c>
      <c r="C6" s="2" t="s">
        <v>326</v>
      </c>
      <c r="D6" s="2" t="s">
        <v>327</v>
      </c>
    </row>
    <row r="7" spans="1:11" x14ac:dyDescent="0.3">
      <c r="A7" s="2" t="s">
        <v>328</v>
      </c>
      <c r="B7" s="2" t="s">
        <v>329</v>
      </c>
      <c r="C7" s="2" t="s">
        <v>330</v>
      </c>
      <c r="D7" s="2" t="s">
        <v>1034</v>
      </c>
    </row>
    <row r="8" spans="1:11" x14ac:dyDescent="0.3">
      <c r="A8" s="2" t="s">
        <v>331</v>
      </c>
      <c r="B8" s="2" t="s">
        <v>332</v>
      </c>
      <c r="C8" s="2" t="s">
        <v>333</v>
      </c>
      <c r="D8" s="2" t="s">
        <v>334</v>
      </c>
    </row>
    <row r="9" spans="1:11" x14ac:dyDescent="0.3">
      <c r="A9" s="2" t="s">
        <v>335</v>
      </c>
      <c r="B9" s="2" t="s">
        <v>336</v>
      </c>
      <c r="C9" s="2" t="s">
        <v>337</v>
      </c>
      <c r="D9" s="2" t="s">
        <v>338</v>
      </c>
    </row>
    <row r="11" spans="1:11" ht="28.8" x14ac:dyDescent="0.3">
      <c r="A11" s="1" t="s">
        <v>121</v>
      </c>
      <c r="B11" s="1" t="s">
        <v>17</v>
      </c>
      <c r="C11" s="1" t="s">
        <v>122</v>
      </c>
      <c r="D11" s="1" t="s">
        <v>4</v>
      </c>
      <c r="E11" s="1" t="s">
        <v>123</v>
      </c>
      <c r="F11" s="1" t="s">
        <v>124</v>
      </c>
      <c r="G11" s="1" t="s">
        <v>53</v>
      </c>
      <c r="H11" s="1" t="s">
        <v>125</v>
      </c>
      <c r="I11" s="1" t="s">
        <v>126</v>
      </c>
      <c r="J11" s="1" t="s">
        <v>127</v>
      </c>
      <c r="K11" s="1" t="s">
        <v>55</v>
      </c>
    </row>
    <row r="12" spans="1:11" ht="28.8" x14ac:dyDescent="0.3">
      <c r="A12" s="2" t="s">
        <v>339</v>
      </c>
      <c r="B12" s="8" t="s">
        <v>19</v>
      </c>
      <c r="C12" s="2" t="s">
        <v>340</v>
      </c>
      <c r="D12" s="2" t="s">
        <v>341</v>
      </c>
      <c r="E12" s="2" t="s">
        <v>342</v>
      </c>
      <c r="F12" s="9" t="s">
        <v>343</v>
      </c>
      <c r="G12" s="10" t="str">
        <f>LEFT(C5,3)</f>
        <v>SAV</v>
      </c>
      <c r="H12" s="10" t="s">
        <v>344</v>
      </c>
      <c r="I12" s="2" t="s">
        <v>345</v>
      </c>
      <c r="J12" s="2" t="s">
        <v>346</v>
      </c>
      <c r="K12" s="2" t="s">
        <v>347</v>
      </c>
    </row>
    <row r="13" spans="1:11" ht="28.8" x14ac:dyDescent="0.3">
      <c r="A13" s="2" t="s">
        <v>339</v>
      </c>
      <c r="B13" s="8" t="s">
        <v>19</v>
      </c>
      <c r="C13" s="2" t="s">
        <v>348</v>
      </c>
      <c r="D13" s="2" t="s">
        <v>349</v>
      </c>
      <c r="E13" s="2" t="s">
        <v>350</v>
      </c>
      <c r="F13" s="9" t="s">
        <v>351</v>
      </c>
      <c r="G13" s="10" t="str">
        <f>RIGHT(C5,3)</f>
        <v>001</v>
      </c>
      <c r="H13" s="10" t="s">
        <v>352</v>
      </c>
      <c r="I13" s="2" t="s">
        <v>353</v>
      </c>
      <c r="J13" s="2" t="s">
        <v>354</v>
      </c>
      <c r="K13" s="2" t="s">
        <v>355</v>
      </c>
    </row>
    <row r="14" spans="1:11" ht="28.8" x14ac:dyDescent="0.3">
      <c r="A14" s="2" t="s">
        <v>339</v>
      </c>
      <c r="B14" s="8" t="s">
        <v>19</v>
      </c>
      <c r="C14" s="2" t="s">
        <v>356</v>
      </c>
      <c r="D14" s="2" t="s">
        <v>357</v>
      </c>
      <c r="E14" s="2" t="s">
        <v>358</v>
      </c>
      <c r="F14" s="9" t="s">
        <v>359</v>
      </c>
      <c r="G14" s="10" t="str">
        <f>MID(C6,4,3)</f>
        <v>NTH</v>
      </c>
      <c r="H14" s="10" t="s">
        <v>360</v>
      </c>
      <c r="I14" s="2" t="s">
        <v>361</v>
      </c>
      <c r="J14" s="2" t="s">
        <v>362</v>
      </c>
      <c r="K14" s="2" t="s">
        <v>363</v>
      </c>
    </row>
    <row r="15" spans="1:11" ht="28.8" x14ac:dyDescent="0.3">
      <c r="A15" s="2" t="s">
        <v>339</v>
      </c>
      <c r="B15" s="8" t="s">
        <v>19</v>
      </c>
      <c r="C15" s="2" t="s">
        <v>364</v>
      </c>
      <c r="D15" s="2" t="s">
        <v>365</v>
      </c>
      <c r="E15" s="2" t="s">
        <v>366</v>
      </c>
      <c r="F15" s="9" t="s">
        <v>367</v>
      </c>
      <c r="G15" s="10">
        <f>LEN(C5)</f>
        <v>11</v>
      </c>
      <c r="H15" s="10" t="s">
        <v>368</v>
      </c>
      <c r="I15" s="2" t="s">
        <v>369</v>
      </c>
      <c r="J15" s="2" t="s">
        <v>370</v>
      </c>
      <c r="K15" s="2" t="s">
        <v>371</v>
      </c>
    </row>
    <row r="16" spans="1:11" ht="28.8" x14ac:dyDescent="0.3">
      <c r="A16" s="2" t="s">
        <v>339</v>
      </c>
      <c r="B16" s="8" t="s">
        <v>19</v>
      </c>
      <c r="C16" s="2" t="s">
        <v>372</v>
      </c>
      <c r="D16" s="2" t="s">
        <v>373</v>
      </c>
      <c r="E16" s="2" t="s">
        <v>374</v>
      </c>
      <c r="F16" s="9" t="s">
        <v>375</v>
      </c>
      <c r="G16" s="10" t="str">
        <f>TRIM(D5)</f>
        <v>central branch</v>
      </c>
      <c r="H16" s="10" t="s">
        <v>376</v>
      </c>
      <c r="I16" s="2" t="s">
        <v>377</v>
      </c>
      <c r="J16" s="2" t="s">
        <v>378</v>
      </c>
      <c r="K16" s="2" t="s">
        <v>379</v>
      </c>
    </row>
    <row r="17" spans="1:11" ht="28.8" x14ac:dyDescent="0.3">
      <c r="A17" s="2" t="s">
        <v>339</v>
      </c>
      <c r="B17" s="8" t="s">
        <v>19</v>
      </c>
      <c r="C17" s="2" t="s">
        <v>380</v>
      </c>
      <c r="D17" s="2" t="s">
        <v>381</v>
      </c>
      <c r="E17" s="2" t="s">
        <v>382</v>
      </c>
      <c r="F17" s="9" t="s">
        <v>383</v>
      </c>
      <c r="G17" s="10" t="str">
        <f>UPPER(D6)</f>
        <v>NORTH  OFFICE</v>
      </c>
      <c r="H17" s="10" t="s">
        <v>384</v>
      </c>
      <c r="I17" s="2" t="s">
        <v>385</v>
      </c>
      <c r="J17" s="2" t="s">
        <v>386</v>
      </c>
      <c r="K17" s="2" t="s">
        <v>387</v>
      </c>
    </row>
    <row r="18" spans="1:11" ht="28.8" x14ac:dyDescent="0.3">
      <c r="A18" s="2" t="s">
        <v>339</v>
      </c>
      <c r="B18" s="8" t="s">
        <v>19</v>
      </c>
      <c r="C18" s="2" t="s">
        <v>388</v>
      </c>
      <c r="D18" s="2" t="s">
        <v>389</v>
      </c>
      <c r="E18" s="2" t="s">
        <v>390</v>
      </c>
      <c r="F18" s="9" t="s">
        <v>391</v>
      </c>
      <c r="G18" s="10" t="str">
        <f>LOWER(D8)</f>
        <v>head office</v>
      </c>
      <c r="H18" s="10" t="s">
        <v>392</v>
      </c>
      <c r="I18" s="2" t="s">
        <v>393</v>
      </c>
      <c r="J18" s="2" t="s">
        <v>394</v>
      </c>
      <c r="K18" s="2" t="s">
        <v>395</v>
      </c>
    </row>
    <row r="19" spans="1:11" ht="28.8" x14ac:dyDescent="0.3">
      <c r="A19" s="2" t="s">
        <v>339</v>
      </c>
      <c r="B19" s="8" t="s">
        <v>19</v>
      </c>
      <c r="C19" s="2" t="s">
        <v>396</v>
      </c>
      <c r="D19" s="2" t="s">
        <v>397</v>
      </c>
      <c r="E19" s="2" t="s">
        <v>398</v>
      </c>
      <c r="F19" s="9" t="s">
        <v>399</v>
      </c>
      <c r="G19" s="10" t="str">
        <f>PROPER(A5)</f>
        <v>Sita Devi</v>
      </c>
      <c r="H19" s="10" t="s">
        <v>400</v>
      </c>
      <c r="I19" s="2" t="s">
        <v>401</v>
      </c>
      <c r="J19" s="2" t="s">
        <v>402</v>
      </c>
      <c r="K19" s="2" t="s">
        <v>403</v>
      </c>
    </row>
    <row r="20" spans="1:11" ht="28.8" x14ac:dyDescent="0.3">
      <c r="A20" s="2" t="s">
        <v>339</v>
      </c>
      <c r="B20" s="11" t="s">
        <v>21</v>
      </c>
      <c r="C20" s="2" t="s">
        <v>404</v>
      </c>
      <c r="D20" s="2" t="s">
        <v>405</v>
      </c>
      <c r="E20" s="2" t="s">
        <v>406</v>
      </c>
      <c r="F20" s="9" t="s">
        <v>407</v>
      </c>
      <c r="G20" s="10" t="e">
        <f ca="1">_xludf.CONCAT(C5,"-",B5)</f>
        <v>#NAME?</v>
      </c>
      <c r="H20" s="10" t="s">
        <v>408</v>
      </c>
      <c r="I20" s="2" t="s">
        <v>409</v>
      </c>
      <c r="J20" s="2" t="s">
        <v>410</v>
      </c>
      <c r="K20" s="2" t="s">
        <v>411</v>
      </c>
    </row>
    <row r="21" spans="1:11" ht="43.2" x14ac:dyDescent="0.3">
      <c r="A21" s="2" t="s">
        <v>339</v>
      </c>
      <c r="B21" s="11" t="s">
        <v>21</v>
      </c>
      <c r="C21" s="2" t="s">
        <v>412</v>
      </c>
      <c r="D21" s="2" t="s">
        <v>413</v>
      </c>
      <c r="E21" s="2" t="s">
        <v>414</v>
      </c>
      <c r="F21" s="9" t="s">
        <v>415</v>
      </c>
      <c r="G21" s="10" t="e">
        <f ca="1">_xludf.TEXTJOIN(", ",TRUE,A5:A9)</f>
        <v>#NAME?</v>
      </c>
      <c r="H21" s="10" t="s">
        <v>416</v>
      </c>
      <c r="I21" s="2" t="s">
        <v>417</v>
      </c>
      <c r="J21" s="2" t="s">
        <v>418</v>
      </c>
      <c r="K21" s="2" t="s">
        <v>419</v>
      </c>
    </row>
    <row r="22" spans="1:11" ht="43.2" x14ac:dyDescent="0.3">
      <c r="A22" s="2" t="s">
        <v>339</v>
      </c>
      <c r="B22" s="11" t="s">
        <v>21</v>
      </c>
      <c r="C22" s="2" t="s">
        <v>420</v>
      </c>
      <c r="D22" s="2" t="s">
        <v>421</v>
      </c>
      <c r="E22" s="2" t="s">
        <v>422</v>
      </c>
      <c r="F22" s="9" t="s">
        <v>423</v>
      </c>
      <c r="G22" s="10" t="str">
        <f>SUBSTITUTE(C5,"CTR","CENT")</f>
        <v>SAV-CENT-001</v>
      </c>
      <c r="H22" s="10" t="s">
        <v>424</v>
      </c>
      <c r="I22" s="2" t="s">
        <v>425</v>
      </c>
      <c r="J22" s="2" t="s">
        <v>426</v>
      </c>
      <c r="K22" s="2" t="s">
        <v>427</v>
      </c>
    </row>
    <row r="23" spans="1:11" ht="43.2" x14ac:dyDescent="0.3">
      <c r="A23" s="2" t="s">
        <v>339</v>
      </c>
      <c r="B23" s="11" t="s">
        <v>21</v>
      </c>
      <c r="C23" s="2" t="s">
        <v>428</v>
      </c>
      <c r="D23" s="2" t="s">
        <v>429</v>
      </c>
      <c r="E23" s="2" t="s">
        <v>430</v>
      </c>
      <c r="F23" s="9" t="s">
        <v>431</v>
      </c>
      <c r="G23" s="10" t="str">
        <f>REPLACE(C5,5,3,"HEAD")</f>
        <v>SAV-HEAD-001</v>
      </c>
      <c r="H23" s="10" t="s">
        <v>432</v>
      </c>
      <c r="I23" s="2" t="s">
        <v>433</v>
      </c>
      <c r="J23" s="2" t="s">
        <v>434</v>
      </c>
      <c r="K23" s="2" t="s">
        <v>435</v>
      </c>
    </row>
    <row r="24" spans="1:11" ht="43.2" x14ac:dyDescent="0.3">
      <c r="A24" s="2" t="s">
        <v>339</v>
      </c>
      <c r="B24" s="11" t="s">
        <v>21</v>
      </c>
      <c r="C24" s="2" t="s">
        <v>436</v>
      </c>
      <c r="D24" s="2" t="s">
        <v>437</v>
      </c>
      <c r="E24" s="2" t="s">
        <v>438</v>
      </c>
      <c r="F24" s="9" t="s">
        <v>439</v>
      </c>
      <c r="G24" s="10">
        <f>FIND("CTR",C5)</f>
        <v>5</v>
      </c>
      <c r="H24" s="10" t="s">
        <v>165</v>
      </c>
      <c r="I24" s="2" t="s">
        <v>440</v>
      </c>
      <c r="J24" s="2" t="s">
        <v>441</v>
      </c>
      <c r="K24" s="2" t="s">
        <v>442</v>
      </c>
    </row>
    <row r="25" spans="1:11" ht="43.2" x14ac:dyDescent="0.3">
      <c r="A25" s="2" t="s">
        <v>339</v>
      </c>
      <c r="B25" s="11" t="s">
        <v>21</v>
      </c>
      <c r="C25" s="2" t="s">
        <v>443</v>
      </c>
      <c r="D25" s="2" t="s">
        <v>444</v>
      </c>
      <c r="E25" s="2" t="s">
        <v>445</v>
      </c>
      <c r="F25" s="9" t="s">
        <v>446</v>
      </c>
      <c r="G25" s="10">
        <f>SEARCH("office",D8)</f>
        <v>6</v>
      </c>
      <c r="H25" s="10" t="s">
        <v>447</v>
      </c>
      <c r="I25" s="2" t="s">
        <v>448</v>
      </c>
      <c r="J25" s="2" t="s">
        <v>449</v>
      </c>
      <c r="K25" s="2" t="s">
        <v>450</v>
      </c>
    </row>
    <row r="26" spans="1:11" ht="28.8" x14ac:dyDescent="0.3">
      <c r="A26" s="2" t="s">
        <v>339</v>
      </c>
      <c r="B26" s="11" t="s">
        <v>21</v>
      </c>
      <c r="C26" s="2" t="s">
        <v>451</v>
      </c>
      <c r="D26" s="2" t="s">
        <v>452</v>
      </c>
      <c r="E26" s="2" t="s">
        <v>453</v>
      </c>
      <c r="F26" s="9" t="s">
        <v>454</v>
      </c>
      <c r="G26" s="10" t="str">
        <f>TEXT(B5,"0000000000")</f>
        <v>9841000001</v>
      </c>
      <c r="H26" s="10" t="s">
        <v>321</v>
      </c>
      <c r="I26" s="2" t="s">
        <v>455</v>
      </c>
      <c r="J26" s="2" t="s">
        <v>456</v>
      </c>
      <c r="K26" s="2" t="s">
        <v>457</v>
      </c>
    </row>
  </sheetData>
  <mergeCells count="2">
    <mergeCell ref="A1:K1"/>
    <mergeCell ref="A3:K3"/>
  </mergeCells>
  <pageMargins left="0.75" right="0.75" top="1" bottom="1" header="0.5" footer="0.5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22"/>
  <sheetViews>
    <sheetView workbookViewId="0">
      <pane ySplit="10" topLeftCell="A11" activePane="bottomLeft" state="frozen"/>
      <selection pane="bottomLeft" activeCell="H8" sqref="H8"/>
    </sheetView>
  </sheetViews>
  <sheetFormatPr defaultRowHeight="14.4" x14ac:dyDescent="0.3"/>
  <cols>
    <col min="1" max="1" width="18" customWidth="1"/>
    <col min="2" max="5" width="16" customWidth="1"/>
    <col min="6" max="6" width="22" customWidth="1"/>
    <col min="7" max="7" width="16" customWidth="1"/>
    <col min="8" max="8" width="18" customWidth="1"/>
    <col min="9" max="9" width="30" customWidth="1"/>
    <col min="10" max="10" width="28" customWidth="1"/>
    <col min="11" max="11" width="24" customWidth="1"/>
  </cols>
  <sheetData>
    <row r="1" spans="1:11" ht="24" customHeight="1" x14ac:dyDescent="0.3">
      <c r="A1" s="25" t="s">
        <v>458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3" spans="1:11" x14ac:dyDescent="0.3">
      <c r="A3" s="22" t="s">
        <v>459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1" ht="28.8" x14ac:dyDescent="0.3">
      <c r="A4" s="1" t="s">
        <v>28</v>
      </c>
      <c r="B4" s="1" t="s">
        <v>460</v>
      </c>
      <c r="C4" s="1" t="s">
        <v>461</v>
      </c>
      <c r="D4" s="1" t="s">
        <v>462</v>
      </c>
      <c r="E4" s="1" t="s">
        <v>463</v>
      </c>
    </row>
    <row r="5" spans="1:11" x14ac:dyDescent="0.3">
      <c r="A5" s="2" t="s">
        <v>34</v>
      </c>
      <c r="B5" s="13">
        <v>45306</v>
      </c>
      <c r="C5" s="13">
        <v>46037</v>
      </c>
      <c r="D5" s="13">
        <v>46183</v>
      </c>
      <c r="E5" s="2">
        <v>10</v>
      </c>
      <c r="G5" s="27">
        <v>45292</v>
      </c>
      <c r="H5" s="27">
        <f ca="1">TODAY()</f>
        <v>46185</v>
      </c>
      <c r="I5">
        <v>90</v>
      </c>
      <c r="J5" t="str">
        <f>IF(I5&lt;=90,"Substandard")</f>
        <v>Substandard</v>
      </c>
    </row>
    <row r="6" spans="1:11" x14ac:dyDescent="0.3">
      <c r="A6" s="2" t="s">
        <v>38</v>
      </c>
      <c r="B6" s="13">
        <v>45717</v>
      </c>
      <c r="C6" s="13">
        <v>46082</v>
      </c>
      <c r="D6" s="13">
        <v>46184</v>
      </c>
      <c r="E6" s="2">
        <v>8</v>
      </c>
      <c r="H6" s="26">
        <f ca="1">YEAR(H5)</f>
        <v>2026</v>
      </c>
    </row>
    <row r="7" spans="1:11" x14ac:dyDescent="0.3">
      <c r="A7" s="2" t="s">
        <v>42</v>
      </c>
      <c r="B7" s="13">
        <v>45250</v>
      </c>
      <c r="C7" s="13">
        <v>45981</v>
      </c>
      <c r="D7" s="13">
        <v>46185</v>
      </c>
      <c r="E7" s="2">
        <v>14</v>
      </c>
      <c r="H7">
        <f ca="1">MONTH(H5)</f>
        <v>6</v>
      </c>
    </row>
    <row r="8" spans="1:11" x14ac:dyDescent="0.3">
      <c r="A8" s="2" t="s">
        <v>45</v>
      </c>
      <c r="B8" s="13">
        <v>45478</v>
      </c>
      <c r="C8" s="13">
        <v>46208</v>
      </c>
      <c r="D8" s="13">
        <v>46186</v>
      </c>
      <c r="E8" s="2">
        <v>11</v>
      </c>
    </row>
    <row r="9" spans="1:11" x14ac:dyDescent="0.3">
      <c r="A9" s="2" t="s">
        <v>46</v>
      </c>
      <c r="B9" s="13">
        <v>45682</v>
      </c>
      <c r="C9" s="13">
        <v>46412</v>
      </c>
      <c r="D9" s="13">
        <v>46189</v>
      </c>
      <c r="E9" s="2">
        <v>6</v>
      </c>
    </row>
    <row r="11" spans="1:11" ht="28.8" x14ac:dyDescent="0.3">
      <c r="A11" s="1" t="s">
        <v>121</v>
      </c>
      <c r="B11" s="1" t="s">
        <v>17</v>
      </c>
      <c r="C11" s="1" t="s">
        <v>122</v>
      </c>
      <c r="D11" s="1" t="s">
        <v>4</v>
      </c>
      <c r="E11" s="1" t="s">
        <v>123</v>
      </c>
      <c r="F11" s="1" t="s">
        <v>124</v>
      </c>
      <c r="G11" s="1" t="s">
        <v>53</v>
      </c>
      <c r="H11" s="1" t="s">
        <v>125</v>
      </c>
      <c r="I11" s="1" t="s">
        <v>126</v>
      </c>
      <c r="J11" s="1" t="s">
        <v>127</v>
      </c>
      <c r="K11" s="1" t="s">
        <v>55</v>
      </c>
    </row>
    <row r="12" spans="1:11" ht="28.8" x14ac:dyDescent="0.3">
      <c r="A12" s="2" t="s">
        <v>464</v>
      </c>
      <c r="B12" s="8" t="s">
        <v>19</v>
      </c>
      <c r="C12" s="2" t="s">
        <v>465</v>
      </c>
      <c r="D12" s="2" t="s">
        <v>466</v>
      </c>
      <c r="E12" s="2" t="s">
        <v>467</v>
      </c>
      <c r="F12" s="9" t="s">
        <v>468</v>
      </c>
      <c r="G12" s="14">
        <f ca="1">TODAY()</f>
        <v>46185</v>
      </c>
      <c r="H12" s="10" t="s">
        <v>469</v>
      </c>
      <c r="I12" s="2" t="s">
        <v>470</v>
      </c>
      <c r="J12" s="2" t="s">
        <v>471</v>
      </c>
      <c r="K12" s="2" t="s">
        <v>472</v>
      </c>
    </row>
    <row r="13" spans="1:11" ht="28.8" x14ac:dyDescent="0.3">
      <c r="A13" s="2" t="s">
        <v>464</v>
      </c>
      <c r="B13" s="8" t="s">
        <v>19</v>
      </c>
      <c r="C13" s="2" t="s">
        <v>473</v>
      </c>
      <c r="D13" s="2" t="s">
        <v>474</v>
      </c>
      <c r="E13" s="2" t="s">
        <v>475</v>
      </c>
      <c r="F13" s="9" t="s">
        <v>476</v>
      </c>
      <c r="G13" s="15">
        <f ca="1">NOW()</f>
        <v>46185.519399189812</v>
      </c>
      <c r="H13" s="10" t="s">
        <v>477</v>
      </c>
      <c r="I13" s="2" t="s">
        <v>478</v>
      </c>
      <c r="J13" s="2" t="s">
        <v>479</v>
      </c>
      <c r="K13" s="2" t="s">
        <v>480</v>
      </c>
    </row>
    <row r="14" spans="1:11" ht="28.8" x14ac:dyDescent="0.3">
      <c r="A14" s="2" t="s">
        <v>464</v>
      </c>
      <c r="B14" s="8" t="s">
        <v>19</v>
      </c>
      <c r="C14" s="2" t="s">
        <v>481</v>
      </c>
      <c r="D14" s="2" t="s">
        <v>482</v>
      </c>
      <c r="E14" s="2" t="s">
        <v>483</v>
      </c>
      <c r="F14" s="9" t="s">
        <v>484</v>
      </c>
      <c r="G14" s="14">
        <f>DATE(2026,12,31)</f>
        <v>46387</v>
      </c>
      <c r="H14" s="10" t="s">
        <v>485</v>
      </c>
      <c r="I14" s="2" t="s">
        <v>486</v>
      </c>
      <c r="J14" s="2" t="s">
        <v>487</v>
      </c>
      <c r="K14" s="2" t="s">
        <v>488</v>
      </c>
    </row>
    <row r="15" spans="1:11" ht="28.8" x14ac:dyDescent="0.3">
      <c r="A15" s="2" t="s">
        <v>464</v>
      </c>
      <c r="B15" s="8" t="s">
        <v>19</v>
      </c>
      <c r="C15" s="2" t="s">
        <v>489</v>
      </c>
      <c r="D15" s="2" t="s">
        <v>490</v>
      </c>
      <c r="E15" s="2" t="s">
        <v>491</v>
      </c>
      <c r="F15" s="9" t="s">
        <v>492</v>
      </c>
      <c r="G15" s="10">
        <f>YEAR(B5)</f>
        <v>2024</v>
      </c>
      <c r="H15" s="10" t="s">
        <v>493</v>
      </c>
      <c r="I15" s="2" t="s">
        <v>494</v>
      </c>
      <c r="J15" s="2" t="s">
        <v>495</v>
      </c>
      <c r="K15" s="2" t="s">
        <v>496</v>
      </c>
    </row>
    <row r="16" spans="1:11" ht="28.8" x14ac:dyDescent="0.3">
      <c r="A16" s="2" t="s">
        <v>464</v>
      </c>
      <c r="B16" s="8" t="s">
        <v>19</v>
      </c>
      <c r="C16" s="2" t="s">
        <v>497</v>
      </c>
      <c r="D16" s="2" t="s">
        <v>498</v>
      </c>
      <c r="E16" s="2" t="s">
        <v>499</v>
      </c>
      <c r="F16" s="9" t="s">
        <v>500</v>
      </c>
      <c r="G16" s="10">
        <f>MONTH(D5)</f>
        <v>6</v>
      </c>
      <c r="H16" s="10" t="s">
        <v>447</v>
      </c>
      <c r="I16" s="2" t="s">
        <v>501</v>
      </c>
      <c r="J16" s="2" t="s">
        <v>502</v>
      </c>
      <c r="K16" s="2" t="s">
        <v>503</v>
      </c>
    </row>
    <row r="17" spans="1:11" ht="28.8" x14ac:dyDescent="0.3">
      <c r="A17" s="2" t="s">
        <v>464</v>
      </c>
      <c r="B17" s="8" t="s">
        <v>19</v>
      </c>
      <c r="C17" s="2" t="s">
        <v>504</v>
      </c>
      <c r="D17" s="2" t="s">
        <v>505</v>
      </c>
      <c r="E17" s="2" t="s">
        <v>506</v>
      </c>
      <c r="F17" s="9" t="s">
        <v>507</v>
      </c>
      <c r="G17" s="10">
        <f>DAY(C5)</f>
        <v>15</v>
      </c>
      <c r="H17" s="10" t="s">
        <v>508</v>
      </c>
      <c r="I17" s="2" t="s">
        <v>509</v>
      </c>
      <c r="J17" s="2" t="s">
        <v>510</v>
      </c>
      <c r="K17" s="2" t="s">
        <v>511</v>
      </c>
    </row>
    <row r="18" spans="1:11" ht="28.8" x14ac:dyDescent="0.3">
      <c r="A18" s="2" t="s">
        <v>464</v>
      </c>
      <c r="B18" s="11" t="s">
        <v>21</v>
      </c>
      <c r="C18" s="2" t="s">
        <v>512</v>
      </c>
      <c r="D18" s="2" t="s">
        <v>513</v>
      </c>
      <c r="E18" s="2" t="s">
        <v>514</v>
      </c>
      <c r="F18" s="9" t="s">
        <v>515</v>
      </c>
      <c r="G18" s="14">
        <f>EDATE(B5,12)</f>
        <v>45672</v>
      </c>
      <c r="H18" s="10" t="s">
        <v>516</v>
      </c>
      <c r="I18" s="2" t="s">
        <v>517</v>
      </c>
      <c r="J18" s="2" t="s">
        <v>518</v>
      </c>
      <c r="K18" s="2" t="s">
        <v>519</v>
      </c>
    </row>
    <row r="19" spans="1:11" ht="28.8" x14ac:dyDescent="0.3">
      <c r="A19" s="2" t="s">
        <v>464</v>
      </c>
      <c r="B19" s="11" t="s">
        <v>21</v>
      </c>
      <c r="C19" s="2" t="s">
        <v>520</v>
      </c>
      <c r="D19" s="2" t="s">
        <v>521</v>
      </c>
      <c r="E19" s="2" t="s">
        <v>522</v>
      </c>
      <c r="F19" s="9" t="s">
        <v>523</v>
      </c>
      <c r="G19" s="14">
        <f>EOMONTH(C5,0)</f>
        <v>46053</v>
      </c>
      <c r="H19" s="10" t="s">
        <v>524</v>
      </c>
      <c r="I19" s="2" t="s">
        <v>525</v>
      </c>
      <c r="J19" s="2" t="s">
        <v>526</v>
      </c>
      <c r="K19" s="2" t="s">
        <v>527</v>
      </c>
    </row>
    <row r="20" spans="1:11" ht="43.2" x14ac:dyDescent="0.3">
      <c r="A20" s="2" t="s">
        <v>464</v>
      </c>
      <c r="B20" s="11" t="s">
        <v>21</v>
      </c>
      <c r="C20" s="2" t="s">
        <v>528</v>
      </c>
      <c r="D20" s="2" t="s">
        <v>529</v>
      </c>
      <c r="E20" s="2" t="s">
        <v>530</v>
      </c>
      <c r="F20" s="9" t="s">
        <v>531</v>
      </c>
      <c r="G20" s="10">
        <f>DATEDIF(B5,C5,"m")</f>
        <v>24</v>
      </c>
      <c r="H20" s="10" t="s">
        <v>532</v>
      </c>
      <c r="I20" s="2" t="s">
        <v>533</v>
      </c>
      <c r="J20" s="2" t="s">
        <v>534</v>
      </c>
      <c r="K20" s="2" t="s">
        <v>535</v>
      </c>
    </row>
    <row r="21" spans="1:11" ht="43.2" x14ac:dyDescent="0.3">
      <c r="A21" s="2" t="s">
        <v>464</v>
      </c>
      <c r="B21" s="11" t="s">
        <v>21</v>
      </c>
      <c r="C21" s="2" t="s">
        <v>536</v>
      </c>
      <c r="D21" s="2" t="s">
        <v>537</v>
      </c>
      <c r="E21" s="2" t="s">
        <v>538</v>
      </c>
      <c r="F21" s="9" t="s">
        <v>539</v>
      </c>
      <c r="G21" s="14">
        <f>WORKDAY(D5,1)</f>
        <v>46184</v>
      </c>
      <c r="H21" s="10" t="s">
        <v>540</v>
      </c>
      <c r="I21" s="2" t="s">
        <v>541</v>
      </c>
      <c r="J21" s="2" t="s">
        <v>542</v>
      </c>
      <c r="K21" s="2" t="s">
        <v>543</v>
      </c>
    </row>
    <row r="22" spans="1:11" ht="43.2" x14ac:dyDescent="0.3">
      <c r="A22" s="2" t="s">
        <v>464</v>
      </c>
      <c r="B22" s="11" t="s">
        <v>21</v>
      </c>
      <c r="C22" s="2" t="s">
        <v>544</v>
      </c>
      <c r="D22" s="2" t="s">
        <v>545</v>
      </c>
      <c r="E22" s="2" t="s">
        <v>546</v>
      </c>
      <c r="F22" s="9" t="s">
        <v>547</v>
      </c>
      <c r="G22" s="10">
        <f>NETWORKDAYS(B5,C5)</f>
        <v>524</v>
      </c>
      <c r="H22" s="10" t="s">
        <v>548</v>
      </c>
      <c r="I22" s="2" t="s">
        <v>549</v>
      </c>
      <c r="J22" s="2" t="s">
        <v>550</v>
      </c>
      <c r="K22" s="2" t="s">
        <v>551</v>
      </c>
    </row>
  </sheetData>
  <mergeCells count="2">
    <mergeCell ref="A1:K1"/>
    <mergeCell ref="A3:K3"/>
  </mergeCells>
  <pageMargins left="0.75" right="0.75" top="1" bottom="1" header="0.5" footer="0.5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20"/>
  <sheetViews>
    <sheetView zoomScale="130" zoomScaleNormal="130" workbookViewId="0">
      <pane ySplit="3" topLeftCell="A4" activePane="bottomLeft" state="frozen"/>
      <selection pane="bottomLeft" activeCell="C18" sqref="C18"/>
    </sheetView>
  </sheetViews>
  <sheetFormatPr defaultRowHeight="14.4" x14ac:dyDescent="0.3"/>
  <cols>
    <col min="1" max="1" width="16" customWidth="1"/>
    <col min="2" max="2" width="18" customWidth="1"/>
    <col min="3" max="3" width="12" customWidth="1"/>
    <col min="4" max="4" width="14" customWidth="1"/>
    <col min="5" max="5" width="16" customWidth="1"/>
    <col min="6" max="6" width="22" customWidth="1"/>
    <col min="7" max="7" width="16" customWidth="1"/>
    <col min="8" max="8" width="18" customWidth="1"/>
    <col min="9" max="9" width="30" customWidth="1"/>
    <col min="10" max="10" width="28" customWidth="1"/>
    <col min="11" max="11" width="24" customWidth="1"/>
  </cols>
  <sheetData>
    <row r="1" spans="1:11" ht="24" customHeight="1" x14ac:dyDescent="0.3">
      <c r="A1" s="25" t="s">
        <v>552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3" spans="1:11" x14ac:dyDescent="0.3">
      <c r="A3" s="22" t="s">
        <v>553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1" x14ac:dyDescent="0.3">
      <c r="A4" s="1" t="s">
        <v>554</v>
      </c>
      <c r="B4" s="1" t="s">
        <v>555</v>
      </c>
      <c r="C4" s="1" t="s">
        <v>32</v>
      </c>
      <c r="D4" s="1" t="s">
        <v>556</v>
      </c>
      <c r="E4" s="1" t="s">
        <v>557</v>
      </c>
      <c r="F4" t="s">
        <v>36</v>
      </c>
      <c r="G4" s="1" t="s">
        <v>32</v>
      </c>
      <c r="H4" s="1" t="s">
        <v>558</v>
      </c>
      <c r="I4" s="1" t="s">
        <v>344</v>
      </c>
      <c r="J4" s="1" t="s">
        <v>559</v>
      </c>
      <c r="K4" s="1" t="s">
        <v>560</v>
      </c>
    </row>
    <row r="5" spans="1:11" x14ac:dyDescent="0.3">
      <c r="A5" s="2" t="s">
        <v>344</v>
      </c>
      <c r="B5" s="2" t="s">
        <v>40</v>
      </c>
      <c r="C5" s="28">
        <v>5.5</v>
      </c>
      <c r="D5" s="2">
        <v>0</v>
      </c>
      <c r="E5" s="2" t="s">
        <v>44</v>
      </c>
      <c r="F5">
        <f>INDEX(LookupData[[Product Name]:[Rate %]],MATCH(F4,LookupData[Product Name],0),MATCH(G4,LookupData[[#Headers],[Product Name]:[Rate %]],0))</f>
        <v>14.5</v>
      </c>
      <c r="H5" s="2" t="s">
        <v>32</v>
      </c>
      <c r="I5" s="2">
        <v>5.5</v>
      </c>
      <c r="J5" s="2">
        <v>8</v>
      </c>
      <c r="K5" s="2">
        <v>14.5</v>
      </c>
    </row>
    <row r="6" spans="1:11" x14ac:dyDescent="0.3">
      <c r="A6" s="2" t="s">
        <v>559</v>
      </c>
      <c r="B6" s="2" t="s">
        <v>561</v>
      </c>
      <c r="C6" s="28">
        <v>8</v>
      </c>
      <c r="D6" s="2">
        <v>12</v>
      </c>
      <c r="E6" s="2" t="s">
        <v>44</v>
      </c>
      <c r="H6" s="2" t="s">
        <v>556</v>
      </c>
      <c r="I6" s="2">
        <v>0</v>
      </c>
      <c r="J6" s="2">
        <v>12</v>
      </c>
      <c r="K6" s="2">
        <v>24</v>
      </c>
    </row>
    <row r="7" spans="1:11" x14ac:dyDescent="0.3">
      <c r="A7" s="2" t="s">
        <v>560</v>
      </c>
      <c r="B7" s="28" t="s">
        <v>36</v>
      </c>
      <c r="C7" s="28">
        <v>14.5</v>
      </c>
      <c r="D7" s="28">
        <v>24</v>
      </c>
      <c r="E7" s="28" t="s">
        <v>562</v>
      </c>
    </row>
    <row r="8" spans="1:11" x14ac:dyDescent="0.3">
      <c r="A8" s="2" t="s">
        <v>563</v>
      </c>
      <c r="B8" s="2" t="s">
        <v>564</v>
      </c>
      <c r="C8" s="28">
        <v>0</v>
      </c>
      <c r="D8" s="2">
        <v>0</v>
      </c>
      <c r="E8" s="2" t="s">
        <v>565</v>
      </c>
      <c r="H8" s="16" t="s">
        <v>566</v>
      </c>
      <c r="I8" s="17" t="s">
        <v>560</v>
      </c>
    </row>
    <row r="9" spans="1:11" x14ac:dyDescent="0.3">
      <c r="A9" s="2" t="s">
        <v>567</v>
      </c>
      <c r="B9" s="2" t="s">
        <v>568</v>
      </c>
      <c r="C9" s="28">
        <v>1.2</v>
      </c>
      <c r="D9" s="2">
        <v>12</v>
      </c>
      <c r="E9" s="2" t="s">
        <v>569</v>
      </c>
    </row>
    <row r="11" spans="1:11" ht="28.8" x14ac:dyDescent="0.3">
      <c r="A11" s="1" t="s">
        <v>121</v>
      </c>
      <c r="B11" s="1" t="s">
        <v>17</v>
      </c>
      <c r="C11" s="1" t="s">
        <v>122</v>
      </c>
      <c r="D11" s="1" t="s">
        <v>4</v>
      </c>
      <c r="E11" s="1" t="s">
        <v>123</v>
      </c>
      <c r="F11" s="1" t="s">
        <v>124</v>
      </c>
      <c r="G11" s="1" t="s">
        <v>53</v>
      </c>
      <c r="H11" s="1" t="s">
        <v>125</v>
      </c>
      <c r="I11" s="1" t="s">
        <v>126</v>
      </c>
      <c r="J11" s="1" t="s">
        <v>127</v>
      </c>
      <c r="K11" s="1" t="s">
        <v>55</v>
      </c>
    </row>
    <row r="12" spans="1:11" ht="57.6" x14ac:dyDescent="0.3">
      <c r="A12" s="2" t="s">
        <v>570</v>
      </c>
      <c r="B12" s="8" t="s">
        <v>19</v>
      </c>
      <c r="C12" s="2" t="s">
        <v>571</v>
      </c>
      <c r="D12" s="2" t="s">
        <v>572</v>
      </c>
      <c r="E12" s="2" t="s">
        <v>573</v>
      </c>
      <c r="F12" s="9" t="s">
        <v>574</v>
      </c>
      <c r="G12" s="10" t="str">
        <f>VLOOKUP(I8,A5:E9,2,FALSE)</f>
        <v>Loan</v>
      </c>
      <c r="H12" s="10" t="s">
        <v>36</v>
      </c>
      <c r="I12" s="2" t="s">
        <v>575</v>
      </c>
      <c r="J12" s="2" t="s">
        <v>576</v>
      </c>
      <c r="K12" s="2" t="s">
        <v>577</v>
      </c>
    </row>
    <row r="13" spans="1:11" ht="57.6" hidden="1" x14ac:dyDescent="0.3">
      <c r="A13" s="2" t="s">
        <v>570</v>
      </c>
      <c r="B13" s="8" t="s">
        <v>19</v>
      </c>
      <c r="C13" s="2" t="s">
        <v>578</v>
      </c>
      <c r="D13" s="2" t="s">
        <v>579</v>
      </c>
      <c r="E13" s="2" t="s">
        <v>580</v>
      </c>
      <c r="F13" s="9" t="s">
        <v>581</v>
      </c>
      <c r="G13" s="10">
        <f>HLOOKUP(I8,I4:K6,2,FALSE)</f>
        <v>14.5</v>
      </c>
      <c r="H13" s="10" t="s">
        <v>582</v>
      </c>
      <c r="I13" s="2" t="s">
        <v>583</v>
      </c>
      <c r="J13" s="2" t="s">
        <v>584</v>
      </c>
      <c r="K13" s="2" t="s">
        <v>585</v>
      </c>
    </row>
    <row r="14" spans="1:11" ht="57.6" x14ac:dyDescent="0.3">
      <c r="A14" s="2" t="s">
        <v>570</v>
      </c>
      <c r="B14" s="11" t="s">
        <v>21</v>
      </c>
      <c r="C14" s="2" t="s">
        <v>586</v>
      </c>
      <c r="D14" s="2" t="s">
        <v>587</v>
      </c>
      <c r="E14" s="2" t="s">
        <v>588</v>
      </c>
      <c r="F14" s="9" t="s">
        <v>589</v>
      </c>
      <c r="G14" s="10">
        <f>_xlfn.XLOOKUP(I8,A5:A9,C5:C9,"Not Found")</f>
        <v>14.5</v>
      </c>
      <c r="H14" s="10" t="s">
        <v>582</v>
      </c>
      <c r="I14" s="2" t="s">
        <v>590</v>
      </c>
      <c r="J14" s="2" t="s">
        <v>591</v>
      </c>
      <c r="K14" s="2" t="s">
        <v>592</v>
      </c>
    </row>
    <row r="15" spans="1:11" ht="43.2" x14ac:dyDescent="0.3">
      <c r="A15" s="2" t="s">
        <v>570</v>
      </c>
      <c r="B15" s="11" t="s">
        <v>21</v>
      </c>
      <c r="C15" s="2" t="s">
        <v>593</v>
      </c>
      <c r="D15" s="2" t="s">
        <v>594</v>
      </c>
      <c r="E15" s="2" t="s">
        <v>595</v>
      </c>
      <c r="F15" s="9" t="s">
        <v>596</v>
      </c>
      <c r="G15" s="10" t="str">
        <f>INDEX(B5:B9,3)</f>
        <v>Loan</v>
      </c>
      <c r="H15" s="10" t="s">
        <v>36</v>
      </c>
      <c r="I15" s="2" t="s">
        <v>597</v>
      </c>
      <c r="J15" s="2" t="s">
        <v>598</v>
      </c>
      <c r="K15" s="2" t="s">
        <v>599</v>
      </c>
    </row>
    <row r="16" spans="1:11" ht="43.2" x14ac:dyDescent="0.3">
      <c r="A16" s="2" t="s">
        <v>570</v>
      </c>
      <c r="B16" s="11" t="s">
        <v>21</v>
      </c>
      <c r="C16" s="2" t="s">
        <v>600</v>
      </c>
      <c r="D16" s="2" t="s">
        <v>601</v>
      </c>
      <c r="E16" s="2" t="s">
        <v>602</v>
      </c>
      <c r="F16" s="9" t="s">
        <v>603</v>
      </c>
      <c r="G16" s="10">
        <f>MATCH(I8,A5:A9,0)</f>
        <v>3</v>
      </c>
      <c r="H16" s="10" t="s">
        <v>604</v>
      </c>
      <c r="I16" s="2" t="s">
        <v>605</v>
      </c>
      <c r="J16" s="2" t="s">
        <v>606</v>
      </c>
      <c r="K16" s="2" t="s">
        <v>607</v>
      </c>
    </row>
    <row r="17" spans="1:11" ht="57.6" x14ac:dyDescent="0.3">
      <c r="A17" s="2" t="s">
        <v>570</v>
      </c>
      <c r="B17" s="11" t="s">
        <v>21</v>
      </c>
      <c r="C17" s="2" t="s">
        <v>608</v>
      </c>
      <c r="D17" s="2" t="s">
        <v>609</v>
      </c>
      <c r="E17" s="2" t="s">
        <v>610</v>
      </c>
      <c r="F17" s="9" t="s">
        <v>611</v>
      </c>
      <c r="G17" s="10">
        <f>INDEX(D5:D9,MATCH(I8,A5:A9,0))</f>
        <v>24</v>
      </c>
      <c r="H17" s="10" t="s">
        <v>532</v>
      </c>
      <c r="I17" s="2" t="s">
        <v>612</v>
      </c>
      <c r="J17" s="2" t="s">
        <v>613</v>
      </c>
      <c r="K17" s="2" t="s">
        <v>614</v>
      </c>
    </row>
    <row r="18" spans="1:11" ht="57.6" x14ac:dyDescent="0.3">
      <c r="A18" s="2" t="s">
        <v>570</v>
      </c>
      <c r="B18" s="12" t="s">
        <v>23</v>
      </c>
      <c r="C18" s="2" t="s">
        <v>615</v>
      </c>
      <c r="D18" s="2" t="s">
        <v>616</v>
      </c>
      <c r="E18" s="2" t="s">
        <v>617</v>
      </c>
      <c r="F18" s="9" t="s">
        <v>618</v>
      </c>
      <c r="G18" s="10">
        <f>_xlfn.XMATCH(I8,A5:A9)</f>
        <v>3</v>
      </c>
      <c r="H18" s="10" t="s">
        <v>604</v>
      </c>
      <c r="I18" s="2" t="s">
        <v>619</v>
      </c>
      <c r="J18" s="2" t="s">
        <v>620</v>
      </c>
      <c r="K18" s="2" t="s">
        <v>621</v>
      </c>
    </row>
    <row r="19" spans="1:11" ht="57.6" hidden="1" x14ac:dyDescent="0.3">
      <c r="A19" s="2" t="s">
        <v>570</v>
      </c>
      <c r="B19" s="12" t="s">
        <v>23</v>
      </c>
      <c r="C19" s="2" t="s">
        <v>622</v>
      </c>
      <c r="D19" s="2" t="s">
        <v>623</v>
      </c>
      <c r="E19" s="2" t="s">
        <v>624</v>
      </c>
      <c r="F19" s="9" t="s">
        <v>625</v>
      </c>
      <c r="G19" s="10" t="str">
        <f ca="1">OFFSET(A5,2,1)</f>
        <v>Loan</v>
      </c>
      <c r="H19" s="10" t="s">
        <v>36</v>
      </c>
      <c r="I19" s="2" t="s">
        <v>626</v>
      </c>
      <c r="J19" s="2" t="s">
        <v>627</v>
      </c>
      <c r="K19" s="2" t="s">
        <v>628</v>
      </c>
    </row>
    <row r="20" spans="1:11" ht="43.2" hidden="1" x14ac:dyDescent="0.3">
      <c r="A20" s="2" t="s">
        <v>570</v>
      </c>
      <c r="B20" s="12" t="s">
        <v>23</v>
      </c>
      <c r="C20" s="2" t="s">
        <v>629</v>
      </c>
      <c r="D20" s="2" t="s">
        <v>630</v>
      </c>
      <c r="E20" s="2" t="s">
        <v>631</v>
      </c>
      <c r="F20" s="9" t="s">
        <v>632</v>
      </c>
      <c r="G20" s="10" t="str" cm="1">
        <f t="array" aca="1" ref="G20" ca="1">INDIRECT("B5")</f>
        <v>Savings</v>
      </c>
      <c r="H20" s="10" t="s">
        <v>40</v>
      </c>
      <c r="I20" s="2" t="s">
        <v>633</v>
      </c>
      <c r="J20" s="2" t="s">
        <v>634</v>
      </c>
      <c r="K20" s="2" t="s">
        <v>635</v>
      </c>
    </row>
  </sheetData>
  <mergeCells count="2">
    <mergeCell ref="A1:K1"/>
    <mergeCell ref="A3:K3"/>
  </mergeCells>
  <pageMargins left="0.75" right="0.75" top="1" bottom="1" header="0.5" footer="0.5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17"/>
  <sheetViews>
    <sheetView topLeftCell="B1" zoomScale="160" zoomScaleNormal="160" workbookViewId="0">
      <pane ySplit="3" topLeftCell="A4" activePane="bottomLeft" state="frozen"/>
      <selection pane="bottomLeft" activeCell="G5" sqref="G5"/>
    </sheetView>
  </sheetViews>
  <sheetFormatPr defaultRowHeight="14.4" x14ac:dyDescent="0.3"/>
  <cols>
    <col min="1" max="1" width="16" customWidth="1"/>
    <col min="2" max="4" width="14" customWidth="1"/>
    <col min="5" max="5" width="18" customWidth="1"/>
    <col min="6" max="6" width="22" customWidth="1"/>
    <col min="7" max="7" width="16" customWidth="1"/>
    <col min="8" max="8" width="18" customWidth="1"/>
    <col min="9" max="9" width="30" customWidth="1"/>
    <col min="10" max="10" width="28" customWidth="1"/>
    <col min="11" max="11" width="24" customWidth="1"/>
  </cols>
  <sheetData>
    <row r="1" spans="1:11" ht="24" customHeight="1" x14ac:dyDescent="0.3">
      <c r="A1" s="25" t="s">
        <v>636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3" spans="1:11" x14ac:dyDescent="0.3">
      <c r="A3" s="22" t="s">
        <v>637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1" x14ac:dyDescent="0.3">
      <c r="A4" s="1" t="s">
        <v>29</v>
      </c>
      <c r="B4" s="1" t="s">
        <v>113</v>
      </c>
      <c r="C4" s="1" t="s">
        <v>30</v>
      </c>
      <c r="D4" s="1" t="s">
        <v>31</v>
      </c>
      <c r="E4" s="1" t="s">
        <v>33</v>
      </c>
      <c r="G4" t="s">
        <v>36</v>
      </c>
      <c r="H4" s="29" t="s">
        <v>638</v>
      </c>
    </row>
    <row r="5" spans="1:11" x14ac:dyDescent="0.3">
      <c r="A5" s="2" t="s">
        <v>35</v>
      </c>
      <c r="B5" s="2" t="s">
        <v>116</v>
      </c>
      <c r="C5" s="2" t="s">
        <v>36</v>
      </c>
      <c r="D5" s="2">
        <v>2400</v>
      </c>
      <c r="E5" s="2" t="s">
        <v>638</v>
      </c>
      <c r="F5">
        <f>SUMIF(CondData[Product],G4,CondData[Amount])</f>
        <v>5900</v>
      </c>
      <c r="G5">
        <f>AVERAGEIF(CondData[Product],G4,CondData[Amount])</f>
        <v>1475</v>
      </c>
    </row>
    <row r="6" spans="1:11" x14ac:dyDescent="0.3">
      <c r="A6" s="2" t="s">
        <v>39</v>
      </c>
      <c r="B6" s="2" t="s">
        <v>117</v>
      </c>
      <c r="C6" s="2" t="s">
        <v>40</v>
      </c>
      <c r="D6" s="2">
        <v>1680</v>
      </c>
      <c r="E6" s="2" t="s">
        <v>638</v>
      </c>
    </row>
    <row r="7" spans="1:11" x14ac:dyDescent="0.3">
      <c r="A7" s="2" t="s">
        <v>43</v>
      </c>
      <c r="B7" s="2" t="s">
        <v>118</v>
      </c>
      <c r="C7" s="2" t="s">
        <v>36</v>
      </c>
      <c r="D7" s="2">
        <v>1100</v>
      </c>
      <c r="E7" s="2" t="s">
        <v>639</v>
      </c>
    </row>
    <row r="8" spans="1:11" x14ac:dyDescent="0.3">
      <c r="A8" s="2" t="s">
        <v>35</v>
      </c>
      <c r="B8" s="2" t="s">
        <v>119</v>
      </c>
      <c r="C8" s="2" t="s">
        <v>36</v>
      </c>
      <c r="D8" s="2">
        <v>900</v>
      </c>
      <c r="E8" s="2" t="s">
        <v>640</v>
      </c>
    </row>
    <row r="9" spans="1:11" x14ac:dyDescent="0.3">
      <c r="A9" s="2" t="s">
        <v>47</v>
      </c>
      <c r="B9" s="2" t="s">
        <v>120</v>
      </c>
      <c r="C9" s="2" t="s">
        <v>40</v>
      </c>
      <c r="D9" s="2">
        <v>1250</v>
      </c>
      <c r="E9" s="2" t="s">
        <v>638</v>
      </c>
    </row>
    <row r="10" spans="1:11" x14ac:dyDescent="0.3">
      <c r="A10" s="2" t="s">
        <v>39</v>
      </c>
      <c r="B10" s="2" t="s">
        <v>641</v>
      </c>
      <c r="C10" s="2" t="s">
        <v>36</v>
      </c>
      <c r="D10" s="2">
        <v>1500</v>
      </c>
      <c r="E10" s="2" t="s">
        <v>639</v>
      </c>
    </row>
    <row r="11" spans="1:11" ht="28.8" x14ac:dyDescent="0.3">
      <c r="A11" s="1" t="s">
        <v>121</v>
      </c>
      <c r="B11" s="1" t="s">
        <v>17</v>
      </c>
      <c r="C11" s="1" t="s">
        <v>122</v>
      </c>
      <c r="D11" s="1" t="s">
        <v>4</v>
      </c>
      <c r="E11" s="1" t="s">
        <v>123</v>
      </c>
      <c r="F11" s="1" t="s">
        <v>124</v>
      </c>
      <c r="G11" s="1" t="s">
        <v>53</v>
      </c>
      <c r="H11" s="1" t="s">
        <v>125</v>
      </c>
      <c r="I11" s="1" t="s">
        <v>126</v>
      </c>
      <c r="J11" s="1" t="s">
        <v>127</v>
      </c>
      <c r="K11" s="1" t="s">
        <v>55</v>
      </c>
    </row>
    <row r="12" spans="1:11" ht="28.8" x14ac:dyDescent="0.3">
      <c r="A12" s="2" t="s">
        <v>642</v>
      </c>
      <c r="B12" s="8" t="s">
        <v>19</v>
      </c>
      <c r="C12" s="2" t="s">
        <v>643</v>
      </c>
      <c r="D12" s="2" t="s">
        <v>644</v>
      </c>
      <c r="E12" s="2" t="s">
        <v>645</v>
      </c>
      <c r="F12" s="9" t="s">
        <v>646</v>
      </c>
      <c r="G12" s="10">
        <f>SUMIF(A5:A10,"Central",D5:D10)</f>
        <v>3300</v>
      </c>
      <c r="H12" s="10" t="s">
        <v>647</v>
      </c>
      <c r="I12" s="2" t="s">
        <v>648</v>
      </c>
      <c r="J12" s="2" t="s">
        <v>649</v>
      </c>
      <c r="K12" s="2" t="s">
        <v>650</v>
      </c>
    </row>
    <row r="13" spans="1:11" ht="43.2" x14ac:dyDescent="0.3">
      <c r="A13" s="2" t="s">
        <v>642</v>
      </c>
      <c r="B13" s="11" t="s">
        <v>21</v>
      </c>
      <c r="C13" s="2" t="s">
        <v>651</v>
      </c>
      <c r="D13" s="2" t="s">
        <v>652</v>
      </c>
      <c r="E13" s="2" t="s">
        <v>653</v>
      </c>
      <c r="F13" s="9" t="s">
        <v>654</v>
      </c>
      <c r="G13" s="10">
        <f>SUMIFS(D5:D10,A5:A10,"North",E5:E10,"Late")</f>
        <v>1500</v>
      </c>
      <c r="H13" s="10" t="s">
        <v>655</v>
      </c>
      <c r="I13" s="2" t="s">
        <v>656</v>
      </c>
      <c r="J13" s="2" t="s">
        <v>657</v>
      </c>
      <c r="K13" s="2" t="s">
        <v>658</v>
      </c>
    </row>
    <row r="14" spans="1:11" ht="28.8" x14ac:dyDescent="0.3">
      <c r="A14" s="2" t="s">
        <v>642</v>
      </c>
      <c r="B14" s="8" t="s">
        <v>19</v>
      </c>
      <c r="C14" s="2" t="s">
        <v>659</v>
      </c>
      <c r="D14" s="2" t="s">
        <v>660</v>
      </c>
      <c r="E14" s="2" t="s">
        <v>661</v>
      </c>
      <c r="F14" s="9" t="s">
        <v>662</v>
      </c>
      <c r="G14" s="10">
        <f>COUNTIF(E5:E10,"Current")</f>
        <v>3</v>
      </c>
      <c r="H14" s="10" t="s">
        <v>604</v>
      </c>
      <c r="I14" s="2" t="s">
        <v>663</v>
      </c>
      <c r="J14" s="2" t="s">
        <v>664</v>
      </c>
      <c r="K14" s="2" t="s">
        <v>665</v>
      </c>
    </row>
    <row r="15" spans="1:11" ht="43.2" x14ac:dyDescent="0.3">
      <c r="A15" s="2" t="s">
        <v>642</v>
      </c>
      <c r="B15" s="11" t="s">
        <v>21</v>
      </c>
      <c r="C15" s="2" t="s">
        <v>666</v>
      </c>
      <c r="D15" s="2" t="s">
        <v>667</v>
      </c>
      <c r="E15" s="2" t="s">
        <v>668</v>
      </c>
      <c r="F15" s="9" t="s">
        <v>669</v>
      </c>
      <c r="G15" s="10">
        <f>COUNTIFS(A5:A10,"North",C5:C10,"Loan")</f>
        <v>1</v>
      </c>
      <c r="H15" s="10" t="s">
        <v>227</v>
      </c>
      <c r="I15" s="2" t="s">
        <v>670</v>
      </c>
      <c r="J15" s="2" t="s">
        <v>671</v>
      </c>
      <c r="K15" s="2" t="s">
        <v>672</v>
      </c>
    </row>
    <row r="16" spans="1:11" ht="43.2" x14ac:dyDescent="0.3">
      <c r="A16" s="2" t="s">
        <v>642</v>
      </c>
      <c r="B16" s="11" t="s">
        <v>21</v>
      </c>
      <c r="C16" s="2" t="s">
        <v>673</v>
      </c>
      <c r="D16" s="2" t="s">
        <v>674</v>
      </c>
      <c r="E16" s="2" t="s">
        <v>675</v>
      </c>
      <c r="F16" s="9" t="s">
        <v>676</v>
      </c>
      <c r="G16" s="10">
        <f>AVERAGEIF(C5:C10,"Loan",D5:D10)</f>
        <v>1475</v>
      </c>
      <c r="H16" s="10" t="s">
        <v>677</v>
      </c>
      <c r="I16" s="2" t="s">
        <v>678</v>
      </c>
      <c r="J16" s="2" t="s">
        <v>679</v>
      </c>
      <c r="K16" s="2" t="s">
        <v>680</v>
      </c>
    </row>
    <row r="17" spans="1:11" ht="43.2" x14ac:dyDescent="0.3">
      <c r="A17" s="2" t="s">
        <v>642</v>
      </c>
      <c r="B17" s="12" t="s">
        <v>23</v>
      </c>
      <c r="C17" s="2" t="s">
        <v>681</v>
      </c>
      <c r="D17" s="2" t="s">
        <v>682</v>
      </c>
      <c r="E17" s="2" t="s">
        <v>683</v>
      </c>
      <c r="F17" s="9" t="s">
        <v>684</v>
      </c>
      <c r="G17" s="10">
        <f>AVERAGEIFS(D5:D10,A5:A10,"North",C5:C10,"Loan")</f>
        <v>1500</v>
      </c>
      <c r="H17" s="10" t="s">
        <v>655</v>
      </c>
      <c r="I17" s="2" t="s">
        <v>685</v>
      </c>
      <c r="J17" s="2" t="s">
        <v>686</v>
      </c>
      <c r="K17" s="2" t="s">
        <v>687</v>
      </c>
    </row>
  </sheetData>
  <mergeCells count="2">
    <mergeCell ref="A1:K1"/>
    <mergeCell ref="A3:K3"/>
  </mergeCells>
  <pageMargins left="0.75" right="0.75" top="1" bottom="1" header="0.5" footer="0.5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C46D5-32AD-4ADA-B060-5F5A2C14DC19}">
  <dimension ref="A1:J497"/>
  <sheetViews>
    <sheetView showGridLines="0" workbookViewId="0">
      <pane ySplit="17" topLeftCell="A18" activePane="bottomLeft" state="frozenSplit"/>
      <selection pane="bottomLeft" activeCell="D10" sqref="D10"/>
    </sheetView>
  </sheetViews>
  <sheetFormatPr defaultColWidth="9.109375" defaultRowHeight="13.8" x14ac:dyDescent="0.3"/>
  <cols>
    <col min="1" max="1" width="6.33203125" style="32" customWidth="1"/>
    <col min="2" max="2" width="15.6640625" style="31" customWidth="1"/>
    <col min="3" max="3" width="21.6640625" style="31" customWidth="1"/>
    <col min="4" max="8" width="14.6640625" style="31" customWidth="1"/>
    <col min="9" max="10" width="21.6640625" style="31" customWidth="1"/>
    <col min="11" max="16384" width="9.109375" style="30"/>
  </cols>
  <sheetData>
    <row r="1" spans="1:10" ht="24" customHeight="1" x14ac:dyDescent="0.4">
      <c r="A1" s="67" t="s">
        <v>1060</v>
      </c>
      <c r="B1" s="30"/>
      <c r="C1" s="30"/>
      <c r="D1" s="30"/>
      <c r="E1" s="51"/>
      <c r="F1" s="51"/>
      <c r="G1" s="51"/>
      <c r="H1" s="51"/>
      <c r="I1" s="51"/>
      <c r="J1" s="51"/>
    </row>
    <row r="2" spans="1:10" ht="3" customHeight="1" x14ac:dyDescent="0.3">
      <c r="A2" s="47"/>
      <c r="B2" s="46"/>
      <c r="C2" s="46"/>
      <c r="D2" s="46"/>
      <c r="E2" s="46"/>
      <c r="F2" s="46"/>
      <c r="G2" s="46"/>
      <c r="H2" s="46"/>
      <c r="I2" s="46"/>
      <c r="J2" s="46"/>
    </row>
    <row r="3" spans="1:10" ht="20.25" customHeight="1" x14ac:dyDescent="0.3">
      <c r="A3" s="51"/>
      <c r="B3" s="48"/>
      <c r="C3" s="48"/>
      <c r="D3" s="48"/>
      <c r="E3" s="48"/>
      <c r="F3" s="48"/>
      <c r="G3" s="48"/>
      <c r="H3" s="48"/>
      <c r="I3" s="48"/>
      <c r="J3" s="48"/>
    </row>
    <row r="4" spans="1:10" ht="14.25" customHeight="1" x14ac:dyDescent="0.3">
      <c r="A4" s="51"/>
      <c r="B4" s="66" t="s">
        <v>1059</v>
      </c>
      <c r="C4" s="65"/>
      <c r="D4" s="64"/>
      <c r="E4" s="51"/>
      <c r="F4" s="30"/>
      <c r="G4" s="30"/>
      <c r="H4" s="66" t="s">
        <v>1058</v>
      </c>
      <c r="I4" s="65"/>
      <c r="J4" s="64"/>
    </row>
    <row r="5" spans="1:10" x14ac:dyDescent="0.3">
      <c r="A5" s="51"/>
      <c r="B5" s="60"/>
      <c r="C5" s="59" t="s">
        <v>1057</v>
      </c>
      <c r="D5" s="54">
        <v>1000000</v>
      </c>
      <c r="E5" s="51"/>
      <c r="F5" s="30"/>
      <c r="G5" s="30"/>
      <c r="H5" s="60"/>
      <c r="I5" s="59" t="s">
        <v>1056</v>
      </c>
      <c r="J5" s="57">
        <f>IF(Values_Entered,-PMT(Interest_Rate/Num_Pmt_Per_Year,Loan_Years*Num_Pmt_Per_Year,Loan_Amount),"")</f>
        <v>26333.835431927764</v>
      </c>
    </row>
    <row r="6" spans="1:10" x14ac:dyDescent="0.3">
      <c r="A6" s="51"/>
      <c r="B6" s="60"/>
      <c r="C6" s="59" t="s">
        <v>1055</v>
      </c>
      <c r="D6" s="63">
        <v>0.12</v>
      </c>
      <c r="E6" s="51"/>
      <c r="F6" s="30"/>
      <c r="G6" s="30"/>
      <c r="H6" s="60"/>
      <c r="I6" s="59" t="s">
        <v>1054</v>
      </c>
      <c r="J6" s="62">
        <f>IF(Values_Entered,Loan_Years*Num_Pmt_Per_Year,"")</f>
        <v>48</v>
      </c>
    </row>
    <row r="7" spans="1:10" x14ac:dyDescent="0.3">
      <c r="A7" s="51"/>
      <c r="B7" s="60"/>
      <c r="C7" s="59" t="s">
        <v>1053</v>
      </c>
      <c r="D7" s="61">
        <v>4</v>
      </c>
      <c r="E7" s="51"/>
      <c r="F7" s="30"/>
      <c r="G7" s="30"/>
      <c r="H7" s="60"/>
      <c r="I7" s="59" t="s">
        <v>1052</v>
      </c>
      <c r="J7" s="62">
        <f>IF(Values_Entered,Number_of_Payments,"")</f>
        <v>48</v>
      </c>
    </row>
    <row r="8" spans="1:10" x14ac:dyDescent="0.3">
      <c r="A8" s="51"/>
      <c r="B8" s="60"/>
      <c r="C8" s="59" t="s">
        <v>1051</v>
      </c>
      <c r="D8" s="61">
        <v>12</v>
      </c>
      <c r="E8" s="51"/>
      <c r="F8" s="30"/>
      <c r="G8" s="30"/>
      <c r="H8" s="60"/>
      <c r="I8" s="59" t="s">
        <v>1050</v>
      </c>
      <c r="J8" s="57">
        <f>IF(Values_Entered,SUMIF(Beg_Bal,"&gt;0",Extra_Pay),"")</f>
        <v>0</v>
      </c>
    </row>
    <row r="9" spans="1:10" x14ac:dyDescent="0.3">
      <c r="A9" s="51"/>
      <c r="B9" s="60"/>
      <c r="C9" s="59" t="s">
        <v>1049</v>
      </c>
      <c r="D9" s="58">
        <v>45383</v>
      </c>
      <c r="E9" s="51"/>
      <c r="F9" s="30"/>
      <c r="G9" s="30"/>
      <c r="H9" s="56"/>
      <c r="I9" s="55" t="s">
        <v>1048</v>
      </c>
      <c r="J9" s="57">
        <f>IF(Values_Entered,SUMIF(Beg_Bal,"&gt;0",Int),"")</f>
        <v>264024.10073253291</v>
      </c>
    </row>
    <row r="10" spans="1:10" x14ac:dyDescent="0.3">
      <c r="A10" s="51"/>
      <c r="B10" s="56"/>
      <c r="C10" s="55" t="s">
        <v>1047</v>
      </c>
      <c r="D10" s="54"/>
      <c r="E10" s="51"/>
      <c r="F10" s="48"/>
      <c r="G10" s="48"/>
      <c r="H10" s="48"/>
      <c r="I10" s="48"/>
      <c r="J10" s="51"/>
    </row>
    <row r="11" spans="1:10" x14ac:dyDescent="0.3">
      <c r="A11" s="51"/>
      <c r="B11" s="48"/>
      <c r="C11" s="48"/>
      <c r="D11" s="48"/>
      <c r="E11" s="48"/>
      <c r="F11" s="48"/>
      <c r="G11" s="48"/>
      <c r="H11" s="48"/>
      <c r="I11" s="48"/>
      <c r="J11" s="48"/>
    </row>
    <row r="12" spans="1:10" x14ac:dyDescent="0.3">
      <c r="A12" s="51"/>
      <c r="B12" s="50" t="s">
        <v>1046</v>
      </c>
      <c r="C12" s="53"/>
      <c r="D12" s="52"/>
      <c r="E12" s="48"/>
      <c r="F12" s="48"/>
      <c r="G12" s="48"/>
      <c r="H12" s="48"/>
      <c r="I12" s="48"/>
      <c r="J12" s="48"/>
    </row>
    <row r="13" spans="1:10" x14ac:dyDescent="0.3">
      <c r="A13" s="51"/>
      <c r="B13" s="50"/>
      <c r="C13" s="49"/>
      <c r="D13" s="49"/>
      <c r="E13" s="48"/>
      <c r="F13" s="48"/>
      <c r="G13" s="48"/>
      <c r="H13" s="48"/>
      <c r="I13" s="48"/>
      <c r="J13" s="48"/>
    </row>
    <row r="14" spans="1:10" ht="6" customHeight="1" x14ac:dyDescent="0.3">
      <c r="A14" s="47"/>
      <c r="B14" s="46"/>
      <c r="C14" s="46"/>
      <c r="D14" s="46"/>
      <c r="E14" s="46"/>
      <c r="F14" s="46"/>
      <c r="G14" s="46"/>
      <c r="H14" s="46"/>
      <c r="I14" s="46"/>
      <c r="J14" s="46"/>
    </row>
    <row r="15" spans="1:10" ht="3.75" customHeight="1" x14ac:dyDescent="0.3">
      <c r="A15" s="45"/>
      <c r="B15" s="44"/>
      <c r="C15" s="44"/>
      <c r="D15" s="44"/>
      <c r="E15" s="44"/>
      <c r="F15" s="44"/>
      <c r="G15" s="44"/>
      <c r="H15" s="44"/>
      <c r="I15" s="44"/>
      <c r="J15" s="44"/>
    </row>
    <row r="16" spans="1:10" s="37" customFormat="1" ht="27.6" x14ac:dyDescent="0.3">
      <c r="A16" s="43" t="s">
        <v>1045</v>
      </c>
      <c r="B16" s="42" t="s">
        <v>1044</v>
      </c>
      <c r="C16" s="42" t="s">
        <v>1043</v>
      </c>
      <c r="D16" s="42" t="s">
        <v>1042</v>
      </c>
      <c r="E16" s="42" t="s">
        <v>1041</v>
      </c>
      <c r="F16" s="42" t="s">
        <v>1040</v>
      </c>
      <c r="G16" s="42" t="s">
        <v>1039</v>
      </c>
      <c r="H16" s="42" t="s">
        <v>1038</v>
      </c>
      <c r="I16" s="42" t="s">
        <v>1037</v>
      </c>
      <c r="J16" s="41" t="s">
        <v>1036</v>
      </c>
    </row>
    <row r="17" spans="1:10" s="37" customFormat="1" ht="6" customHeight="1" x14ac:dyDescent="0.3">
      <c r="A17" s="40"/>
      <c r="B17" s="39"/>
      <c r="C17" s="39"/>
      <c r="D17" s="39"/>
      <c r="E17" s="39"/>
      <c r="F17" s="39"/>
      <c r="G17" s="39"/>
      <c r="H17" s="39"/>
      <c r="I17" s="39"/>
      <c r="J17" s="38"/>
    </row>
    <row r="18" spans="1:10" s="37" customFormat="1" x14ac:dyDescent="0.3">
      <c r="A18" s="36">
        <f>IF(Values_Entered,1,"")</f>
        <v>1</v>
      </c>
      <c r="B18" s="35">
        <f>IF(Pay_Num&lt;&gt;"",DATE(YEAR(Loan_Start),MONTH(Loan_Start)+(Pay_Num)*12/Num_Pmt_Per_Year,DAY(Loan_Start)),"")</f>
        <v>45413</v>
      </c>
      <c r="C18" s="33">
        <f>IF(Values_Entered,Loan_Amount,"")</f>
        <v>1000000</v>
      </c>
      <c r="D18" s="33">
        <f>IF(Pay_Num&lt;&gt;"",Scheduled_Monthly_Payment,"")</f>
        <v>26333.835431927764</v>
      </c>
      <c r="E18" s="34">
        <f>IF(AND(Pay_Num&lt;&gt;"",Sched_Pay+Scheduled_Extra_Payments&lt;Beg_Bal),Scheduled_Extra_Payments,IF(AND(Pay_Num&lt;&gt;"",Beg_Bal-Sched_Pay&gt;0),Beg_Bal-Sched_Pay,IF(Pay_Num&lt;&gt;"",0,"")))</f>
        <v>0</v>
      </c>
      <c r="F18" s="33">
        <f>IF(AND(Pay_Num&lt;&gt;"",Sched_Pay+Extra_Pay&lt;Beg_Bal),Sched_Pay+Extra_Pay,IF(Pay_Num&lt;&gt;"",Beg_Bal,""))</f>
        <v>26333.835431927764</v>
      </c>
      <c r="G18" s="33">
        <f>IF(Pay_Num&lt;&gt;"",Total_Pay-Int,"")</f>
        <v>16333.835431927764</v>
      </c>
      <c r="H18" s="33">
        <f>IF(Pay_Num&lt;&gt;"",Beg_Bal*(Interest_Rate/Num_Pmt_Per_Year),"")</f>
        <v>10000</v>
      </c>
      <c r="I18" s="33">
        <f>IF(AND(Pay_Num&lt;&gt;"",Sched_Pay+Extra_Pay&lt;Beg_Bal),Beg_Bal-Princ,IF(Pay_Num&lt;&gt;"",0,""))</f>
        <v>983666.16456807218</v>
      </c>
      <c r="J18" s="33">
        <f>SUM($H$18:$H18)</f>
        <v>10000</v>
      </c>
    </row>
    <row r="19" spans="1:10" s="37" customFormat="1" ht="12.75" customHeight="1" x14ac:dyDescent="0.3">
      <c r="A19" s="36">
        <f>IF(Values_Entered,A18+1,"")</f>
        <v>2</v>
      </c>
      <c r="B19" s="35">
        <f>IF(Pay_Num&lt;&gt;"",DATE(YEAR(Loan_Start),MONTH(Loan_Start)+(Pay_Num)*12/Num_Pmt_Per_Year,DAY(Loan_Start)),"")</f>
        <v>45444</v>
      </c>
      <c r="C19" s="33">
        <f>IF(Pay_Num&lt;&gt;"",I18,"")</f>
        <v>983666.16456807218</v>
      </c>
      <c r="D19" s="33">
        <f>IF(Pay_Num&lt;&gt;"",Scheduled_Monthly_Payment,"")</f>
        <v>26333.835431927764</v>
      </c>
      <c r="E19" s="34">
        <f>IF(AND(Pay_Num&lt;&gt;"",Sched_Pay+Scheduled_Extra_Payments&lt;Beg_Bal),Scheduled_Extra_Payments,IF(AND(Pay_Num&lt;&gt;"",Beg_Bal-Sched_Pay&gt;0),Beg_Bal-Sched_Pay,IF(Pay_Num&lt;&gt;"",0,"")))</f>
        <v>0</v>
      </c>
      <c r="F19" s="33">
        <f>IF(AND(Pay_Num&lt;&gt;"",Sched_Pay+Extra_Pay&lt;Beg_Bal),Sched_Pay+Extra_Pay,IF(Pay_Num&lt;&gt;"",Beg_Bal,""))</f>
        <v>26333.835431927764</v>
      </c>
      <c r="G19" s="33">
        <f>IF(Pay_Num&lt;&gt;"",Total_Pay-Int,"")</f>
        <v>16497.17378624704</v>
      </c>
      <c r="H19" s="33">
        <f>IF(Pay_Num&lt;&gt;"",Beg_Bal*Interest_Rate/Num_Pmt_Per_Year,"")</f>
        <v>9836.6616456807224</v>
      </c>
      <c r="I19" s="33">
        <f>IF(AND(Pay_Num&lt;&gt;"",Sched_Pay+Extra_Pay&lt;Beg_Bal),Beg_Bal-Princ,IF(Pay_Num&lt;&gt;"",0,""))</f>
        <v>967168.99078182515</v>
      </c>
      <c r="J19" s="33">
        <f>SUM($H$18:$H19)</f>
        <v>19836.661645680724</v>
      </c>
    </row>
    <row r="20" spans="1:10" s="37" customFormat="1" ht="12.75" customHeight="1" x14ac:dyDescent="0.3">
      <c r="A20" s="36">
        <f>IF(Values_Entered,A19+1,"")</f>
        <v>3</v>
      </c>
      <c r="B20" s="35">
        <f>IF(Pay_Num&lt;&gt;"",DATE(YEAR(Loan_Start),MONTH(Loan_Start)+(Pay_Num)*12/Num_Pmt_Per_Year,DAY(Loan_Start)),"")</f>
        <v>45474</v>
      </c>
      <c r="C20" s="33">
        <f>IF(Pay_Num&lt;&gt;"",I19,"")</f>
        <v>967168.99078182515</v>
      </c>
      <c r="D20" s="33">
        <f>IF(Pay_Num&lt;&gt;"",Scheduled_Monthly_Payment,"")</f>
        <v>26333.835431927764</v>
      </c>
      <c r="E20" s="34">
        <f>IF(AND(Pay_Num&lt;&gt;"",Sched_Pay+Scheduled_Extra_Payments&lt;Beg_Bal),Scheduled_Extra_Payments,IF(AND(Pay_Num&lt;&gt;"",Beg_Bal-Sched_Pay&gt;0),Beg_Bal-Sched_Pay,IF(Pay_Num&lt;&gt;"",0,"")))</f>
        <v>0</v>
      </c>
      <c r="F20" s="33">
        <f>IF(AND(Pay_Num&lt;&gt;"",Sched_Pay+Extra_Pay&lt;Beg_Bal),Sched_Pay+Extra_Pay,IF(Pay_Num&lt;&gt;"",Beg_Bal,""))</f>
        <v>26333.835431927764</v>
      </c>
      <c r="G20" s="33">
        <f>IF(Pay_Num&lt;&gt;"",Total_Pay-Int,"")</f>
        <v>16662.14552410951</v>
      </c>
      <c r="H20" s="33">
        <f>IF(Pay_Num&lt;&gt;"",Beg_Bal*Interest_Rate/Num_Pmt_Per_Year,"")</f>
        <v>9671.6899078182523</v>
      </c>
      <c r="I20" s="33">
        <f>IF(AND(Pay_Num&lt;&gt;"",Sched_Pay+Extra_Pay&lt;Beg_Bal),Beg_Bal-Princ,IF(Pay_Num&lt;&gt;"",0,""))</f>
        <v>950506.84525771567</v>
      </c>
      <c r="J20" s="33">
        <f>SUM($H$18:$H20)</f>
        <v>29508.351553498978</v>
      </c>
    </row>
    <row r="21" spans="1:10" s="37" customFormat="1" x14ac:dyDescent="0.3">
      <c r="A21" s="36">
        <f>IF(Values_Entered,A20+1,"")</f>
        <v>4</v>
      </c>
      <c r="B21" s="35">
        <f>IF(Pay_Num&lt;&gt;"",DATE(YEAR(Loan_Start),MONTH(Loan_Start)+(Pay_Num)*12/Num_Pmt_Per_Year,DAY(Loan_Start)),"")</f>
        <v>45505</v>
      </c>
      <c r="C21" s="33">
        <f>IF(Pay_Num&lt;&gt;"",I20,"")</f>
        <v>950506.84525771567</v>
      </c>
      <c r="D21" s="33">
        <f>IF(Pay_Num&lt;&gt;"",Scheduled_Monthly_Payment,"")</f>
        <v>26333.835431927764</v>
      </c>
      <c r="E21" s="34">
        <f>IF(AND(Pay_Num&lt;&gt;"",Sched_Pay+Scheduled_Extra_Payments&lt;Beg_Bal),Scheduled_Extra_Payments,IF(AND(Pay_Num&lt;&gt;"",Beg_Bal-Sched_Pay&gt;0),Beg_Bal-Sched_Pay,IF(Pay_Num&lt;&gt;"",0,"")))</f>
        <v>0</v>
      </c>
      <c r="F21" s="33">
        <f>IF(AND(Pay_Num&lt;&gt;"",Sched_Pay+Extra_Pay&lt;Beg_Bal),Sched_Pay+Extra_Pay,IF(Pay_Num&lt;&gt;"",Beg_Bal,""))</f>
        <v>26333.835431927764</v>
      </c>
      <c r="G21" s="33">
        <f>IF(Pay_Num&lt;&gt;"",Total_Pay-Int,"")</f>
        <v>16828.766979350607</v>
      </c>
      <c r="H21" s="33">
        <f>IF(Pay_Num&lt;&gt;"",Beg_Bal*Interest_Rate/Num_Pmt_Per_Year,"")</f>
        <v>9505.0684525771558</v>
      </c>
      <c r="I21" s="33">
        <f>IF(AND(Pay_Num&lt;&gt;"",Sched_Pay+Extra_Pay&lt;Beg_Bal),Beg_Bal-Princ,IF(Pay_Num&lt;&gt;"",0,""))</f>
        <v>933678.07827836508</v>
      </c>
      <c r="J21" s="33">
        <f>SUM($H$18:$H21)</f>
        <v>39013.420006076136</v>
      </c>
    </row>
    <row r="22" spans="1:10" s="37" customFormat="1" x14ac:dyDescent="0.3">
      <c r="A22" s="36">
        <f>IF(Values_Entered,A21+1,"")</f>
        <v>5</v>
      </c>
      <c r="B22" s="35">
        <f>IF(Pay_Num&lt;&gt;"",DATE(YEAR(Loan_Start),MONTH(Loan_Start)+(Pay_Num)*12/Num_Pmt_Per_Year,DAY(Loan_Start)),"")</f>
        <v>45536</v>
      </c>
      <c r="C22" s="33">
        <f>IF(Pay_Num&lt;&gt;"",I21,"")</f>
        <v>933678.07827836508</v>
      </c>
      <c r="D22" s="33">
        <f>IF(Pay_Num&lt;&gt;"",Scheduled_Monthly_Payment,"")</f>
        <v>26333.835431927764</v>
      </c>
      <c r="E22" s="34">
        <f>IF(AND(Pay_Num&lt;&gt;"",Sched_Pay+Scheduled_Extra_Payments&lt;Beg_Bal),Scheduled_Extra_Payments,IF(AND(Pay_Num&lt;&gt;"",Beg_Bal-Sched_Pay&gt;0),Beg_Bal-Sched_Pay,IF(Pay_Num&lt;&gt;"",0,"")))</f>
        <v>0</v>
      </c>
      <c r="F22" s="33">
        <f>IF(AND(Pay_Num&lt;&gt;"",Sched_Pay+Extra_Pay&lt;Beg_Bal),Sched_Pay+Extra_Pay,IF(Pay_Num&lt;&gt;"",Beg_Bal,""))</f>
        <v>26333.835431927764</v>
      </c>
      <c r="G22" s="33">
        <f>IF(Pay_Num&lt;&gt;"",Total_Pay-Int,"")</f>
        <v>16997.054649144113</v>
      </c>
      <c r="H22" s="33">
        <f>IF(Pay_Num&lt;&gt;"",Beg_Bal*Interest_Rate/Num_Pmt_Per_Year,"")</f>
        <v>9336.7807827836496</v>
      </c>
      <c r="I22" s="33">
        <f>IF(AND(Pay_Num&lt;&gt;"",Sched_Pay+Extra_Pay&lt;Beg_Bal),Beg_Bal-Princ,IF(Pay_Num&lt;&gt;"",0,""))</f>
        <v>916681.02362922102</v>
      </c>
      <c r="J22" s="33">
        <f>SUM($H$18:$H22)</f>
        <v>48350.200788859787</v>
      </c>
    </row>
    <row r="23" spans="1:10" x14ac:dyDescent="0.3">
      <c r="A23" s="36">
        <f>IF(Values_Entered,A22+1,"")</f>
        <v>6</v>
      </c>
      <c r="B23" s="35">
        <f>IF(Pay_Num&lt;&gt;"",DATE(YEAR(Loan_Start),MONTH(Loan_Start)+(Pay_Num)*12/Num_Pmt_Per_Year,DAY(Loan_Start)),"")</f>
        <v>45566</v>
      </c>
      <c r="C23" s="33">
        <f>IF(Pay_Num&lt;&gt;"",I22,"")</f>
        <v>916681.02362922102</v>
      </c>
      <c r="D23" s="33">
        <f>IF(Pay_Num&lt;&gt;"",Scheduled_Monthly_Payment,"")</f>
        <v>26333.835431927764</v>
      </c>
      <c r="E23" s="34">
        <f>IF(AND(Pay_Num&lt;&gt;"",Sched_Pay+Scheduled_Extra_Payments&lt;Beg_Bal),Scheduled_Extra_Payments,IF(AND(Pay_Num&lt;&gt;"",Beg_Bal-Sched_Pay&gt;0),Beg_Bal-Sched_Pay,IF(Pay_Num&lt;&gt;"",0,"")))</f>
        <v>0</v>
      </c>
      <c r="F23" s="33">
        <f>IF(AND(Pay_Num&lt;&gt;"",Sched_Pay+Extra_Pay&lt;Beg_Bal),Sched_Pay+Extra_Pay,IF(Pay_Num&lt;&gt;"",Beg_Bal,""))</f>
        <v>26333.835431927764</v>
      </c>
      <c r="G23" s="33">
        <f>IF(Pay_Num&lt;&gt;"",Total_Pay-Int,"")</f>
        <v>17167.025195635557</v>
      </c>
      <c r="H23" s="33">
        <f>IF(Pay_Num&lt;&gt;"",Beg_Bal*Interest_Rate/Num_Pmt_Per_Year,"")</f>
        <v>9166.8102362922091</v>
      </c>
      <c r="I23" s="33">
        <f>IF(AND(Pay_Num&lt;&gt;"",Sched_Pay+Extra_Pay&lt;Beg_Bal),Beg_Bal-Princ,IF(Pay_Num&lt;&gt;"",0,""))</f>
        <v>899513.99843358551</v>
      </c>
      <c r="J23" s="33">
        <f>SUM($H$18:$H23)</f>
        <v>57517.011025151995</v>
      </c>
    </row>
    <row r="24" spans="1:10" x14ac:dyDescent="0.3">
      <c r="A24" s="36">
        <f>IF(Values_Entered,A23+1,"")</f>
        <v>7</v>
      </c>
      <c r="B24" s="35">
        <f>IF(Pay_Num&lt;&gt;"",DATE(YEAR(Loan_Start),MONTH(Loan_Start)+(Pay_Num)*12/Num_Pmt_Per_Year,DAY(Loan_Start)),"")</f>
        <v>45597</v>
      </c>
      <c r="C24" s="33">
        <f>IF(Pay_Num&lt;&gt;"",I23,"")</f>
        <v>899513.99843358551</v>
      </c>
      <c r="D24" s="33">
        <f>IF(Pay_Num&lt;&gt;"",Scheduled_Monthly_Payment,"")</f>
        <v>26333.835431927764</v>
      </c>
      <c r="E24" s="34">
        <f>IF(AND(Pay_Num&lt;&gt;"",Sched_Pay+Scheduled_Extra_Payments&lt;Beg_Bal),Scheduled_Extra_Payments,IF(AND(Pay_Num&lt;&gt;"",Beg_Bal-Sched_Pay&gt;0),Beg_Bal-Sched_Pay,IF(Pay_Num&lt;&gt;"",0,"")))</f>
        <v>0</v>
      </c>
      <c r="F24" s="33">
        <f>IF(AND(Pay_Num&lt;&gt;"",Sched_Pay+Extra_Pay&lt;Beg_Bal),Sched_Pay+Extra_Pay,IF(Pay_Num&lt;&gt;"",Beg_Bal,""))</f>
        <v>26333.835431927764</v>
      </c>
      <c r="G24" s="33">
        <f>IF(Pay_Num&lt;&gt;"",Total_Pay-Int,"")</f>
        <v>17338.695447591912</v>
      </c>
      <c r="H24" s="33">
        <f>IF(Pay_Num&lt;&gt;"",Beg_Bal*Interest_Rate/Num_Pmt_Per_Year,"")</f>
        <v>8995.139984335854</v>
      </c>
      <c r="I24" s="33">
        <f>IF(AND(Pay_Num&lt;&gt;"",Sched_Pay+Extra_Pay&lt;Beg_Bal),Beg_Bal-Princ,IF(Pay_Num&lt;&gt;"",0,""))</f>
        <v>882175.30298599356</v>
      </c>
      <c r="J24" s="33">
        <f>SUM($H$18:$H24)</f>
        <v>66512.151009487847</v>
      </c>
    </row>
    <row r="25" spans="1:10" x14ac:dyDescent="0.3">
      <c r="A25" s="36">
        <f>IF(Values_Entered,A24+1,"")</f>
        <v>8</v>
      </c>
      <c r="B25" s="35">
        <f>IF(Pay_Num&lt;&gt;"",DATE(YEAR(Loan_Start),MONTH(Loan_Start)+(Pay_Num)*12/Num_Pmt_Per_Year,DAY(Loan_Start)),"")</f>
        <v>45627</v>
      </c>
      <c r="C25" s="33">
        <f>IF(Pay_Num&lt;&gt;"",I24,"")</f>
        <v>882175.30298599356</v>
      </c>
      <c r="D25" s="33">
        <f>IF(Pay_Num&lt;&gt;"",Scheduled_Monthly_Payment,"")</f>
        <v>26333.835431927764</v>
      </c>
      <c r="E25" s="34">
        <f>IF(AND(Pay_Num&lt;&gt;"",Sched_Pay+Scheduled_Extra_Payments&lt;Beg_Bal),Scheduled_Extra_Payments,IF(AND(Pay_Num&lt;&gt;"",Beg_Bal-Sched_Pay&gt;0),Beg_Bal-Sched_Pay,IF(Pay_Num&lt;&gt;"",0,"")))</f>
        <v>0</v>
      </c>
      <c r="F25" s="33">
        <f>IF(AND(Pay_Num&lt;&gt;"",Sched_Pay+Extra_Pay&lt;Beg_Bal),Sched_Pay+Extra_Pay,IF(Pay_Num&lt;&gt;"",Beg_Bal,""))</f>
        <v>26333.835431927764</v>
      </c>
      <c r="G25" s="33">
        <f>IF(Pay_Num&lt;&gt;"",Total_Pay-Int,"")</f>
        <v>17512.082402067826</v>
      </c>
      <c r="H25" s="33">
        <f>IF(Pay_Num&lt;&gt;"",Beg_Bal*Interest_Rate/Num_Pmt_Per_Year,"")</f>
        <v>8821.7530298599359</v>
      </c>
      <c r="I25" s="33">
        <f>IF(AND(Pay_Num&lt;&gt;"",Sched_Pay+Extra_Pay&lt;Beg_Bal),Beg_Bal-Princ,IF(Pay_Num&lt;&gt;"",0,""))</f>
        <v>864663.22058392572</v>
      </c>
      <c r="J25" s="33">
        <f>SUM($H$18:$H25)</f>
        <v>75333.904039347777</v>
      </c>
    </row>
    <row r="26" spans="1:10" x14ac:dyDescent="0.3">
      <c r="A26" s="36">
        <f>IF(Values_Entered,A25+1,"")</f>
        <v>9</v>
      </c>
      <c r="B26" s="35">
        <f>IF(Pay_Num&lt;&gt;"",DATE(YEAR(Loan_Start),MONTH(Loan_Start)+(Pay_Num)*12/Num_Pmt_Per_Year,DAY(Loan_Start)),"")</f>
        <v>45658</v>
      </c>
      <c r="C26" s="33">
        <f>IF(Pay_Num&lt;&gt;"",I25,"")</f>
        <v>864663.22058392572</v>
      </c>
      <c r="D26" s="33">
        <f>IF(Pay_Num&lt;&gt;"",Scheduled_Monthly_Payment,"")</f>
        <v>26333.835431927764</v>
      </c>
      <c r="E26" s="34">
        <f>IF(AND(Pay_Num&lt;&gt;"",Sched_Pay+Scheduled_Extra_Payments&lt;Beg_Bal),Scheduled_Extra_Payments,IF(AND(Pay_Num&lt;&gt;"",Beg_Bal-Sched_Pay&gt;0),Beg_Bal-Sched_Pay,IF(Pay_Num&lt;&gt;"",0,"")))</f>
        <v>0</v>
      </c>
      <c r="F26" s="33">
        <f>IF(AND(Pay_Num&lt;&gt;"",Sched_Pay+Extra_Pay&lt;Beg_Bal),Sched_Pay+Extra_Pay,IF(Pay_Num&lt;&gt;"",Beg_Bal,""))</f>
        <v>26333.835431927764</v>
      </c>
      <c r="G26" s="33">
        <f>IF(Pay_Num&lt;&gt;"",Total_Pay-Int,"")</f>
        <v>17687.20322608851</v>
      </c>
      <c r="H26" s="33">
        <f>IF(Pay_Num&lt;&gt;"",Beg_Bal*Interest_Rate/Num_Pmt_Per_Year,"")</f>
        <v>8646.6322058392561</v>
      </c>
      <c r="I26" s="33">
        <f>IF(AND(Pay_Num&lt;&gt;"",Sched_Pay+Extra_Pay&lt;Beg_Bal),Beg_Bal-Princ,IF(Pay_Num&lt;&gt;"",0,""))</f>
        <v>846976.01735783718</v>
      </c>
      <c r="J26" s="33">
        <f>SUM($H$18:$H26)</f>
        <v>83980.536245187031</v>
      </c>
    </row>
    <row r="27" spans="1:10" x14ac:dyDescent="0.3">
      <c r="A27" s="36">
        <f>IF(Values_Entered,A26+1,"")</f>
        <v>10</v>
      </c>
      <c r="B27" s="35">
        <f>IF(Pay_Num&lt;&gt;"",DATE(YEAR(Loan_Start),MONTH(Loan_Start)+(Pay_Num)*12/Num_Pmt_Per_Year,DAY(Loan_Start)),"")</f>
        <v>45689</v>
      </c>
      <c r="C27" s="33">
        <f>IF(Pay_Num&lt;&gt;"",I26,"")</f>
        <v>846976.01735783718</v>
      </c>
      <c r="D27" s="33">
        <f>IF(Pay_Num&lt;&gt;"",Scheduled_Monthly_Payment,"")</f>
        <v>26333.835431927764</v>
      </c>
      <c r="E27" s="34">
        <f>IF(AND(Pay_Num&lt;&gt;"",Sched_Pay+Scheduled_Extra_Payments&lt;Beg_Bal),Scheduled_Extra_Payments,IF(AND(Pay_Num&lt;&gt;"",Beg_Bal-Sched_Pay&gt;0),Beg_Bal-Sched_Pay,IF(Pay_Num&lt;&gt;"",0,"")))</f>
        <v>0</v>
      </c>
      <c r="F27" s="33">
        <f>IF(AND(Pay_Num&lt;&gt;"",Sched_Pay+Extra_Pay&lt;Beg_Bal),Sched_Pay+Extra_Pay,IF(Pay_Num&lt;&gt;"",Beg_Bal,""))</f>
        <v>26333.835431927764</v>
      </c>
      <c r="G27" s="33">
        <f>IF(Pay_Num&lt;&gt;"",Total_Pay-Int,"")</f>
        <v>17864.075258349392</v>
      </c>
      <c r="H27" s="33">
        <f>IF(Pay_Num&lt;&gt;"",Beg_Bal*Interest_Rate/Num_Pmt_Per_Year,"")</f>
        <v>8469.7601735783719</v>
      </c>
      <c r="I27" s="33">
        <f>IF(AND(Pay_Num&lt;&gt;"",Sched_Pay+Extra_Pay&lt;Beg_Bal),Beg_Bal-Princ,IF(Pay_Num&lt;&gt;"",0,""))</f>
        <v>829111.94209948776</v>
      </c>
      <c r="J27" s="33">
        <f>SUM($H$18:$H27)</f>
        <v>92450.2964187654</v>
      </c>
    </row>
    <row r="28" spans="1:10" x14ac:dyDescent="0.3">
      <c r="A28" s="36">
        <f>IF(Values_Entered,A27+1,"")</f>
        <v>11</v>
      </c>
      <c r="B28" s="35">
        <f>IF(Pay_Num&lt;&gt;"",DATE(YEAR(Loan_Start),MONTH(Loan_Start)+(Pay_Num)*12/Num_Pmt_Per_Year,DAY(Loan_Start)),"")</f>
        <v>45717</v>
      </c>
      <c r="C28" s="33">
        <f>IF(Pay_Num&lt;&gt;"",I27,"")</f>
        <v>829111.94209948776</v>
      </c>
      <c r="D28" s="33">
        <f>IF(Pay_Num&lt;&gt;"",Scheduled_Monthly_Payment,"")</f>
        <v>26333.835431927764</v>
      </c>
      <c r="E28" s="34">
        <f>IF(AND(Pay_Num&lt;&gt;"",Sched_Pay+Scheduled_Extra_Payments&lt;Beg_Bal),Scheduled_Extra_Payments,IF(AND(Pay_Num&lt;&gt;"",Beg_Bal-Sched_Pay&gt;0),Beg_Bal-Sched_Pay,IF(Pay_Num&lt;&gt;"",0,"")))</f>
        <v>0</v>
      </c>
      <c r="F28" s="33">
        <f>IF(AND(Pay_Num&lt;&gt;"",Sched_Pay+Extra_Pay&lt;Beg_Bal),Sched_Pay+Extra_Pay,IF(Pay_Num&lt;&gt;"",Beg_Bal,""))</f>
        <v>26333.835431927764</v>
      </c>
      <c r="G28" s="33">
        <f>IF(Pay_Num&lt;&gt;"",Total_Pay-Int,"")</f>
        <v>18042.716010932887</v>
      </c>
      <c r="H28" s="33">
        <f>IF(Pay_Num&lt;&gt;"",Beg_Bal*Interest_Rate/Num_Pmt_Per_Year,"")</f>
        <v>8291.1194209948771</v>
      </c>
      <c r="I28" s="33">
        <f>IF(AND(Pay_Num&lt;&gt;"",Sched_Pay+Extra_Pay&lt;Beg_Bal),Beg_Bal-Princ,IF(Pay_Num&lt;&gt;"",0,""))</f>
        <v>811069.22608855483</v>
      </c>
      <c r="J28" s="33">
        <f>SUM($H$18:$H28)</f>
        <v>100741.41583976027</v>
      </c>
    </row>
    <row r="29" spans="1:10" x14ac:dyDescent="0.3">
      <c r="A29" s="36">
        <f>IF(Values_Entered,A28+1,"")</f>
        <v>12</v>
      </c>
      <c r="B29" s="35">
        <f>IF(Pay_Num&lt;&gt;"",DATE(YEAR(Loan_Start),MONTH(Loan_Start)+(Pay_Num)*12/Num_Pmt_Per_Year,DAY(Loan_Start)),"")</f>
        <v>45748</v>
      </c>
      <c r="C29" s="33">
        <f>IF(Pay_Num&lt;&gt;"",I28,"")</f>
        <v>811069.22608855483</v>
      </c>
      <c r="D29" s="33">
        <f>IF(Pay_Num&lt;&gt;"",Scheduled_Monthly_Payment,"")</f>
        <v>26333.835431927764</v>
      </c>
      <c r="E29" s="34">
        <f>IF(AND(Pay_Num&lt;&gt;"",Sched_Pay+Scheduled_Extra_Payments&lt;Beg_Bal),Scheduled_Extra_Payments,IF(AND(Pay_Num&lt;&gt;"",Beg_Bal-Sched_Pay&gt;0),Beg_Bal-Sched_Pay,IF(Pay_Num&lt;&gt;"",0,"")))</f>
        <v>0</v>
      </c>
      <c r="F29" s="33">
        <f>IF(AND(Pay_Num&lt;&gt;"",Sched_Pay+Extra_Pay&lt;Beg_Bal),Sched_Pay+Extra_Pay,IF(Pay_Num&lt;&gt;"",Beg_Bal,""))</f>
        <v>26333.835431927764</v>
      </c>
      <c r="G29" s="33">
        <f>IF(Pay_Num&lt;&gt;"",Total_Pay-Int,"")</f>
        <v>18223.143171042215</v>
      </c>
      <c r="H29" s="33">
        <f>IF(Pay_Num&lt;&gt;"",Beg_Bal*Interest_Rate/Num_Pmt_Per_Year,"")</f>
        <v>8110.6922608855484</v>
      </c>
      <c r="I29" s="33">
        <f>IF(AND(Pay_Num&lt;&gt;"",Sched_Pay+Extra_Pay&lt;Beg_Bal),Beg_Bal-Princ,IF(Pay_Num&lt;&gt;"",0,""))</f>
        <v>792846.08291751263</v>
      </c>
      <c r="J29" s="33">
        <f>SUM($H$18:$H29)</f>
        <v>108852.10810064583</v>
      </c>
    </row>
    <row r="30" spans="1:10" x14ac:dyDescent="0.3">
      <c r="A30" s="36">
        <f>IF(Values_Entered,A29+1,"")</f>
        <v>13</v>
      </c>
      <c r="B30" s="35">
        <f>IF(Pay_Num&lt;&gt;"",DATE(YEAR(Loan_Start),MONTH(Loan_Start)+(Pay_Num)*12/Num_Pmt_Per_Year,DAY(Loan_Start)),"")</f>
        <v>45778</v>
      </c>
      <c r="C30" s="33">
        <f>IF(Pay_Num&lt;&gt;"",I29,"")</f>
        <v>792846.08291751263</v>
      </c>
      <c r="D30" s="33">
        <f>IF(Pay_Num&lt;&gt;"",Scheduled_Monthly_Payment,"")</f>
        <v>26333.835431927764</v>
      </c>
      <c r="E30" s="34">
        <f>IF(AND(Pay_Num&lt;&gt;"",Sched_Pay+Scheduled_Extra_Payments&lt;Beg_Bal),Scheduled_Extra_Payments,IF(AND(Pay_Num&lt;&gt;"",Beg_Bal-Sched_Pay&gt;0),Beg_Bal-Sched_Pay,IF(Pay_Num&lt;&gt;"",0,"")))</f>
        <v>0</v>
      </c>
      <c r="F30" s="33">
        <f>IF(AND(Pay_Num&lt;&gt;"",Sched_Pay+Extra_Pay&lt;Beg_Bal),Sched_Pay+Extra_Pay,IF(Pay_Num&lt;&gt;"",Beg_Bal,""))</f>
        <v>26333.835431927764</v>
      </c>
      <c r="G30" s="33">
        <f>IF(Pay_Num&lt;&gt;"",Total_Pay-Int,"")</f>
        <v>18405.374602752639</v>
      </c>
      <c r="H30" s="33">
        <f>IF(Pay_Num&lt;&gt;"",Beg_Bal*Interest_Rate/Num_Pmt_Per_Year,"")</f>
        <v>7928.4608291751256</v>
      </c>
      <c r="I30" s="33">
        <f>IF(AND(Pay_Num&lt;&gt;"",Sched_Pay+Extra_Pay&lt;Beg_Bal),Beg_Bal-Princ,IF(Pay_Num&lt;&gt;"",0,""))</f>
        <v>774440.70831476001</v>
      </c>
      <c r="J30" s="33">
        <f>SUM($H$18:$H30)</f>
        <v>116780.56892982095</v>
      </c>
    </row>
    <row r="31" spans="1:10" x14ac:dyDescent="0.3">
      <c r="A31" s="36">
        <f>IF(Values_Entered,A30+1,"")</f>
        <v>14</v>
      </c>
      <c r="B31" s="35">
        <f>IF(Pay_Num&lt;&gt;"",DATE(YEAR(Loan_Start),MONTH(Loan_Start)+(Pay_Num)*12/Num_Pmt_Per_Year,DAY(Loan_Start)),"")</f>
        <v>45809</v>
      </c>
      <c r="C31" s="33">
        <f>IF(Pay_Num&lt;&gt;"",I30,"")</f>
        <v>774440.70831476001</v>
      </c>
      <c r="D31" s="33">
        <f>IF(Pay_Num&lt;&gt;"",Scheduled_Monthly_Payment,"")</f>
        <v>26333.835431927764</v>
      </c>
      <c r="E31" s="34">
        <f>IF(AND(Pay_Num&lt;&gt;"",Sched_Pay+Scheduled_Extra_Payments&lt;Beg_Bal),Scheduled_Extra_Payments,IF(AND(Pay_Num&lt;&gt;"",Beg_Bal-Sched_Pay&gt;0),Beg_Bal-Sched_Pay,IF(Pay_Num&lt;&gt;"",0,"")))</f>
        <v>0</v>
      </c>
      <c r="F31" s="33">
        <f>IF(AND(Pay_Num&lt;&gt;"",Sched_Pay+Extra_Pay&lt;Beg_Bal),Sched_Pay+Extra_Pay,IF(Pay_Num&lt;&gt;"",Beg_Bal,""))</f>
        <v>26333.835431927764</v>
      </c>
      <c r="G31" s="33">
        <f>IF(Pay_Num&lt;&gt;"",Total_Pay-Int,"")</f>
        <v>18589.428348780166</v>
      </c>
      <c r="H31" s="33">
        <f>IF(Pay_Num&lt;&gt;"",Beg_Bal*Interest_Rate/Num_Pmt_Per_Year,"")</f>
        <v>7744.4070831475992</v>
      </c>
      <c r="I31" s="33">
        <f>IF(AND(Pay_Num&lt;&gt;"",Sched_Pay+Extra_Pay&lt;Beg_Bal),Beg_Bal-Princ,IF(Pay_Num&lt;&gt;"",0,""))</f>
        <v>755851.27996597986</v>
      </c>
      <c r="J31" s="33">
        <f>SUM($H$18:$H31)</f>
        <v>124524.97601296855</v>
      </c>
    </row>
    <row r="32" spans="1:10" x14ac:dyDescent="0.3">
      <c r="A32" s="36">
        <f>IF(Values_Entered,A31+1,"")</f>
        <v>15</v>
      </c>
      <c r="B32" s="35">
        <f>IF(Pay_Num&lt;&gt;"",DATE(YEAR(Loan_Start),MONTH(Loan_Start)+(Pay_Num)*12/Num_Pmt_Per_Year,DAY(Loan_Start)),"")</f>
        <v>45839</v>
      </c>
      <c r="C32" s="33">
        <f>IF(Pay_Num&lt;&gt;"",I31,"")</f>
        <v>755851.27996597986</v>
      </c>
      <c r="D32" s="33">
        <f>IF(Pay_Num&lt;&gt;"",Scheduled_Monthly_Payment,"")</f>
        <v>26333.835431927764</v>
      </c>
      <c r="E32" s="34">
        <f>IF(AND(Pay_Num&lt;&gt;"",Sched_Pay+Scheduled_Extra_Payments&lt;Beg_Bal),Scheduled_Extra_Payments,IF(AND(Pay_Num&lt;&gt;"",Beg_Bal-Sched_Pay&gt;0),Beg_Bal-Sched_Pay,IF(Pay_Num&lt;&gt;"",0,"")))</f>
        <v>0</v>
      </c>
      <c r="F32" s="33">
        <f>IF(AND(Pay_Num&lt;&gt;"",Sched_Pay+Extra_Pay&lt;Beg_Bal),Sched_Pay+Extra_Pay,IF(Pay_Num&lt;&gt;"",Beg_Bal,""))</f>
        <v>26333.835431927764</v>
      </c>
      <c r="G32" s="33">
        <f>IF(Pay_Num&lt;&gt;"",Total_Pay-Int,"")</f>
        <v>18775.322632267966</v>
      </c>
      <c r="H32" s="33">
        <f>IF(Pay_Num&lt;&gt;"",Beg_Bal*Interest_Rate/Num_Pmt_Per_Year,"")</f>
        <v>7558.5127996597985</v>
      </c>
      <c r="I32" s="33">
        <f>IF(AND(Pay_Num&lt;&gt;"",Sched_Pay+Extra_Pay&lt;Beg_Bal),Beg_Bal-Princ,IF(Pay_Num&lt;&gt;"",0,""))</f>
        <v>737075.95733371191</v>
      </c>
      <c r="J32" s="33">
        <f>SUM($H$18:$H32)</f>
        <v>132083.48881262835</v>
      </c>
    </row>
    <row r="33" spans="1:10" x14ac:dyDescent="0.3">
      <c r="A33" s="36">
        <f>IF(Values_Entered,A32+1,"")</f>
        <v>16</v>
      </c>
      <c r="B33" s="35">
        <f>IF(Pay_Num&lt;&gt;"",DATE(YEAR(Loan_Start),MONTH(Loan_Start)+(Pay_Num)*12/Num_Pmt_Per_Year,DAY(Loan_Start)),"")</f>
        <v>45870</v>
      </c>
      <c r="C33" s="33">
        <f>IF(Pay_Num&lt;&gt;"",I32,"")</f>
        <v>737075.95733371191</v>
      </c>
      <c r="D33" s="33">
        <f>IF(Pay_Num&lt;&gt;"",Scheduled_Monthly_Payment,"")</f>
        <v>26333.835431927764</v>
      </c>
      <c r="E33" s="34">
        <f>IF(AND(Pay_Num&lt;&gt;"",Sched_Pay+Scheduled_Extra_Payments&lt;Beg_Bal),Scheduled_Extra_Payments,IF(AND(Pay_Num&lt;&gt;"",Beg_Bal-Sched_Pay&gt;0),Beg_Bal-Sched_Pay,IF(Pay_Num&lt;&gt;"",0,"")))</f>
        <v>0</v>
      </c>
      <c r="F33" s="33">
        <f>IF(AND(Pay_Num&lt;&gt;"",Sched_Pay+Extra_Pay&lt;Beg_Bal),Sched_Pay+Extra_Pay,IF(Pay_Num&lt;&gt;"",Beg_Bal,""))</f>
        <v>26333.835431927764</v>
      </c>
      <c r="G33" s="33">
        <f>IF(Pay_Num&lt;&gt;"",Total_Pay-Int,"")</f>
        <v>18963.075858590644</v>
      </c>
      <c r="H33" s="33">
        <f>IF(Pay_Num&lt;&gt;"",Beg_Bal*Interest_Rate/Num_Pmt_Per_Year,"")</f>
        <v>7370.759573337119</v>
      </c>
      <c r="I33" s="33">
        <f>IF(AND(Pay_Num&lt;&gt;"",Sched_Pay+Extra_Pay&lt;Beg_Bal),Beg_Bal-Princ,IF(Pay_Num&lt;&gt;"",0,""))</f>
        <v>718112.88147512125</v>
      </c>
      <c r="J33" s="33">
        <f>SUM($H$18:$H33)</f>
        <v>139454.24838596547</v>
      </c>
    </row>
    <row r="34" spans="1:10" x14ac:dyDescent="0.3">
      <c r="A34" s="36">
        <f>IF(Values_Entered,A33+1,"")</f>
        <v>17</v>
      </c>
      <c r="B34" s="35">
        <f>IF(Pay_Num&lt;&gt;"",DATE(YEAR(Loan_Start),MONTH(Loan_Start)+(Pay_Num)*12/Num_Pmt_Per_Year,DAY(Loan_Start)),"")</f>
        <v>45901</v>
      </c>
      <c r="C34" s="33">
        <f>IF(Pay_Num&lt;&gt;"",I33,"")</f>
        <v>718112.88147512125</v>
      </c>
      <c r="D34" s="33">
        <f>IF(Pay_Num&lt;&gt;"",Scheduled_Monthly_Payment,"")</f>
        <v>26333.835431927764</v>
      </c>
      <c r="E34" s="34">
        <f>IF(AND(Pay_Num&lt;&gt;"",Sched_Pay+Scheduled_Extra_Payments&lt;Beg_Bal),Scheduled_Extra_Payments,IF(AND(Pay_Num&lt;&gt;"",Beg_Bal-Sched_Pay&gt;0),Beg_Bal-Sched_Pay,IF(Pay_Num&lt;&gt;"",0,"")))</f>
        <v>0</v>
      </c>
      <c r="F34" s="33">
        <f>IF(AND(Pay_Num&lt;&gt;"",Sched_Pay+Extra_Pay&lt;Beg_Bal),Sched_Pay+Extra_Pay,IF(Pay_Num&lt;&gt;"",Beg_Bal,""))</f>
        <v>26333.835431927764</v>
      </c>
      <c r="G34" s="33">
        <f>IF(Pay_Num&lt;&gt;"",Total_Pay-Int,"")</f>
        <v>19152.706617176551</v>
      </c>
      <c r="H34" s="33">
        <f>IF(Pay_Num&lt;&gt;"",Beg_Bal*Interest_Rate/Num_Pmt_Per_Year,"")</f>
        <v>7181.1288147512123</v>
      </c>
      <c r="I34" s="33">
        <f>IF(AND(Pay_Num&lt;&gt;"",Sched_Pay+Extra_Pay&lt;Beg_Bal),Beg_Bal-Princ,IF(Pay_Num&lt;&gt;"",0,""))</f>
        <v>698960.17485794472</v>
      </c>
      <c r="J34" s="33">
        <f>SUM($H$18:$H34)</f>
        <v>146635.3772007167</v>
      </c>
    </row>
    <row r="35" spans="1:10" x14ac:dyDescent="0.3">
      <c r="A35" s="36">
        <f>IF(Values_Entered,A34+1,"")</f>
        <v>18</v>
      </c>
      <c r="B35" s="35">
        <f>IF(Pay_Num&lt;&gt;"",DATE(YEAR(Loan_Start),MONTH(Loan_Start)+(Pay_Num)*12/Num_Pmt_Per_Year,DAY(Loan_Start)),"")</f>
        <v>45931</v>
      </c>
      <c r="C35" s="33">
        <f>IF(Pay_Num&lt;&gt;"",I34,"")</f>
        <v>698960.17485794472</v>
      </c>
      <c r="D35" s="33">
        <f>IF(Pay_Num&lt;&gt;"",Scheduled_Monthly_Payment,"")</f>
        <v>26333.835431927764</v>
      </c>
      <c r="E35" s="34">
        <f>IF(AND(Pay_Num&lt;&gt;"",Sched_Pay+Scheduled_Extra_Payments&lt;Beg_Bal),Scheduled_Extra_Payments,IF(AND(Pay_Num&lt;&gt;"",Beg_Bal-Sched_Pay&gt;0),Beg_Bal-Sched_Pay,IF(Pay_Num&lt;&gt;"",0,"")))</f>
        <v>0</v>
      </c>
      <c r="F35" s="33">
        <f>IF(AND(Pay_Num&lt;&gt;"",Sched_Pay+Extra_Pay&lt;Beg_Bal),Sched_Pay+Extra_Pay,IF(Pay_Num&lt;&gt;"",Beg_Bal,""))</f>
        <v>26333.835431927764</v>
      </c>
      <c r="G35" s="33">
        <f>IF(Pay_Num&lt;&gt;"",Total_Pay-Int,"")</f>
        <v>19344.233683348317</v>
      </c>
      <c r="H35" s="33">
        <f>IF(Pay_Num&lt;&gt;"",Beg_Bal*Interest_Rate/Num_Pmt_Per_Year,"")</f>
        <v>6989.6017485794473</v>
      </c>
      <c r="I35" s="33">
        <f>IF(AND(Pay_Num&lt;&gt;"",Sched_Pay+Extra_Pay&lt;Beg_Bal),Beg_Bal-Princ,IF(Pay_Num&lt;&gt;"",0,""))</f>
        <v>679615.94117459643</v>
      </c>
      <c r="J35" s="33">
        <f>SUM($H$18:$H35)</f>
        <v>153624.97894929614</v>
      </c>
    </row>
    <row r="36" spans="1:10" x14ac:dyDescent="0.3">
      <c r="A36" s="36">
        <f>IF(Values_Entered,A35+1,"")</f>
        <v>19</v>
      </c>
      <c r="B36" s="35">
        <f>IF(Pay_Num&lt;&gt;"",DATE(YEAR(Loan_Start),MONTH(Loan_Start)+(Pay_Num)*12/Num_Pmt_Per_Year,DAY(Loan_Start)),"")</f>
        <v>45962</v>
      </c>
      <c r="C36" s="33">
        <f>IF(Pay_Num&lt;&gt;"",I35,"")</f>
        <v>679615.94117459643</v>
      </c>
      <c r="D36" s="33">
        <f>IF(Pay_Num&lt;&gt;"",Scheduled_Monthly_Payment,"")</f>
        <v>26333.835431927764</v>
      </c>
      <c r="E36" s="34">
        <f>IF(AND(Pay_Num&lt;&gt;"",Sched_Pay+Scheduled_Extra_Payments&lt;Beg_Bal),Scheduled_Extra_Payments,IF(AND(Pay_Num&lt;&gt;"",Beg_Bal-Sched_Pay&gt;0),Beg_Bal-Sched_Pay,IF(Pay_Num&lt;&gt;"",0,"")))</f>
        <v>0</v>
      </c>
      <c r="F36" s="33">
        <f>IF(AND(Pay_Num&lt;&gt;"",Sched_Pay+Extra_Pay&lt;Beg_Bal),Sched_Pay+Extra_Pay,IF(Pay_Num&lt;&gt;"",Beg_Bal,""))</f>
        <v>26333.835431927764</v>
      </c>
      <c r="G36" s="33">
        <f>IF(Pay_Num&lt;&gt;"",Total_Pay-Int,"")</f>
        <v>19537.6760201818</v>
      </c>
      <c r="H36" s="33">
        <f>IF(Pay_Num&lt;&gt;"",Beg_Bal*Interest_Rate/Num_Pmt_Per_Year,"")</f>
        <v>6796.1594117459645</v>
      </c>
      <c r="I36" s="33">
        <f>IF(AND(Pay_Num&lt;&gt;"",Sched_Pay+Extra_Pay&lt;Beg_Bal),Beg_Bal-Princ,IF(Pay_Num&lt;&gt;"",0,""))</f>
        <v>660078.26515441458</v>
      </c>
      <c r="J36" s="33">
        <f>SUM($H$18:$H36)</f>
        <v>160421.1383610421</v>
      </c>
    </row>
    <row r="37" spans="1:10" x14ac:dyDescent="0.3">
      <c r="A37" s="36">
        <f>IF(Values_Entered,A36+1,"")</f>
        <v>20</v>
      </c>
      <c r="B37" s="35">
        <f>IF(Pay_Num&lt;&gt;"",DATE(YEAR(Loan_Start),MONTH(Loan_Start)+(Pay_Num)*12/Num_Pmt_Per_Year,DAY(Loan_Start)),"")</f>
        <v>45992</v>
      </c>
      <c r="C37" s="33">
        <f>IF(Pay_Num&lt;&gt;"",I36,"")</f>
        <v>660078.26515441458</v>
      </c>
      <c r="D37" s="33">
        <f>IF(Pay_Num&lt;&gt;"",Scheduled_Monthly_Payment,"")</f>
        <v>26333.835431927764</v>
      </c>
      <c r="E37" s="34">
        <f>IF(AND(Pay_Num&lt;&gt;"",Sched_Pay+Scheduled_Extra_Payments&lt;Beg_Bal),Scheduled_Extra_Payments,IF(AND(Pay_Num&lt;&gt;"",Beg_Bal-Sched_Pay&gt;0),Beg_Bal-Sched_Pay,IF(Pay_Num&lt;&gt;"",0,"")))</f>
        <v>0</v>
      </c>
      <c r="F37" s="33">
        <f>IF(AND(Pay_Num&lt;&gt;"",Sched_Pay+Extra_Pay&lt;Beg_Bal),Sched_Pay+Extra_Pay,IF(Pay_Num&lt;&gt;"",Beg_Bal,""))</f>
        <v>26333.835431927764</v>
      </c>
      <c r="G37" s="33">
        <f>IF(Pay_Num&lt;&gt;"",Total_Pay-Int,"")</f>
        <v>19733.052780383619</v>
      </c>
      <c r="H37" s="33">
        <f>IF(Pay_Num&lt;&gt;"",Beg_Bal*Interest_Rate/Num_Pmt_Per_Year,"")</f>
        <v>6600.7826515441457</v>
      </c>
      <c r="I37" s="33">
        <f>IF(AND(Pay_Num&lt;&gt;"",Sched_Pay+Extra_Pay&lt;Beg_Bal),Beg_Bal-Princ,IF(Pay_Num&lt;&gt;"",0,""))</f>
        <v>640345.21237403096</v>
      </c>
      <c r="J37" s="33">
        <f>SUM($H$18:$H37)</f>
        <v>167021.92101258624</v>
      </c>
    </row>
    <row r="38" spans="1:10" x14ac:dyDescent="0.3">
      <c r="A38" s="36">
        <f>IF(Values_Entered,A37+1,"")</f>
        <v>21</v>
      </c>
      <c r="B38" s="35">
        <f>IF(Pay_Num&lt;&gt;"",DATE(YEAR(Loan_Start),MONTH(Loan_Start)+(Pay_Num)*12/Num_Pmt_Per_Year,DAY(Loan_Start)),"")</f>
        <v>46023</v>
      </c>
      <c r="C38" s="33">
        <f>IF(Pay_Num&lt;&gt;"",I37,"")</f>
        <v>640345.21237403096</v>
      </c>
      <c r="D38" s="33">
        <f>IF(Pay_Num&lt;&gt;"",Scheduled_Monthly_Payment,"")</f>
        <v>26333.835431927764</v>
      </c>
      <c r="E38" s="34">
        <f>IF(AND(Pay_Num&lt;&gt;"",Sched_Pay+Scheduled_Extra_Payments&lt;Beg_Bal),Scheduled_Extra_Payments,IF(AND(Pay_Num&lt;&gt;"",Beg_Bal-Sched_Pay&gt;0),Beg_Bal-Sched_Pay,IF(Pay_Num&lt;&gt;"",0,"")))</f>
        <v>0</v>
      </c>
      <c r="F38" s="33">
        <f>IF(AND(Pay_Num&lt;&gt;"",Sched_Pay+Extra_Pay&lt;Beg_Bal),Sched_Pay+Extra_Pay,IF(Pay_Num&lt;&gt;"",Beg_Bal,""))</f>
        <v>26333.835431927764</v>
      </c>
      <c r="G38" s="33">
        <f>IF(Pay_Num&lt;&gt;"",Total_Pay-Int,"")</f>
        <v>19930.383308187455</v>
      </c>
      <c r="H38" s="33">
        <f>IF(Pay_Num&lt;&gt;"",Beg_Bal*Interest_Rate/Num_Pmt_Per_Year,"")</f>
        <v>6403.4521237403096</v>
      </c>
      <c r="I38" s="33">
        <f>IF(AND(Pay_Num&lt;&gt;"",Sched_Pay+Extra_Pay&lt;Beg_Bal),Beg_Bal-Princ,IF(Pay_Num&lt;&gt;"",0,""))</f>
        <v>620414.82906584349</v>
      </c>
      <c r="J38" s="33">
        <f>SUM($H$18:$H38)</f>
        <v>173425.37313632655</v>
      </c>
    </row>
    <row r="39" spans="1:10" x14ac:dyDescent="0.3">
      <c r="A39" s="36">
        <f>IF(Values_Entered,A38+1,"")</f>
        <v>22</v>
      </c>
      <c r="B39" s="35">
        <f>IF(Pay_Num&lt;&gt;"",DATE(YEAR(Loan_Start),MONTH(Loan_Start)+(Pay_Num)*12/Num_Pmt_Per_Year,DAY(Loan_Start)),"")</f>
        <v>46054</v>
      </c>
      <c r="C39" s="33">
        <f>IF(Pay_Num&lt;&gt;"",I38,"")</f>
        <v>620414.82906584349</v>
      </c>
      <c r="D39" s="33">
        <f>IF(Pay_Num&lt;&gt;"",Scheduled_Monthly_Payment,"")</f>
        <v>26333.835431927764</v>
      </c>
      <c r="E39" s="34">
        <f>IF(AND(Pay_Num&lt;&gt;"",Sched_Pay+Scheduled_Extra_Payments&lt;Beg_Bal),Scheduled_Extra_Payments,IF(AND(Pay_Num&lt;&gt;"",Beg_Bal-Sched_Pay&gt;0),Beg_Bal-Sched_Pay,IF(Pay_Num&lt;&gt;"",0,"")))</f>
        <v>0</v>
      </c>
      <c r="F39" s="33">
        <f>IF(AND(Pay_Num&lt;&gt;"",Sched_Pay+Extra_Pay&lt;Beg_Bal),Sched_Pay+Extra_Pay,IF(Pay_Num&lt;&gt;"",Beg_Bal,""))</f>
        <v>26333.835431927764</v>
      </c>
      <c r="G39" s="33">
        <f>IF(Pay_Num&lt;&gt;"",Total_Pay-Int,"")</f>
        <v>20129.687141269329</v>
      </c>
      <c r="H39" s="33">
        <f>IF(Pay_Num&lt;&gt;"",Beg_Bal*Interest_Rate/Num_Pmt_Per_Year,"")</f>
        <v>6204.1482906584351</v>
      </c>
      <c r="I39" s="33">
        <f>IF(AND(Pay_Num&lt;&gt;"",Sched_Pay+Extra_Pay&lt;Beg_Bal),Beg_Bal-Princ,IF(Pay_Num&lt;&gt;"",0,""))</f>
        <v>600285.14192457416</v>
      </c>
      <c r="J39" s="33">
        <f>SUM($H$18:$H39)</f>
        <v>179629.52142698498</v>
      </c>
    </row>
    <row r="40" spans="1:10" x14ac:dyDescent="0.3">
      <c r="A40" s="36">
        <f>IF(Values_Entered,A39+1,"")</f>
        <v>23</v>
      </c>
      <c r="B40" s="35">
        <f>IF(Pay_Num&lt;&gt;"",DATE(YEAR(Loan_Start),MONTH(Loan_Start)+(Pay_Num)*12/Num_Pmt_Per_Year,DAY(Loan_Start)),"")</f>
        <v>46082</v>
      </c>
      <c r="C40" s="33">
        <f>IF(Pay_Num&lt;&gt;"",I39,"")</f>
        <v>600285.14192457416</v>
      </c>
      <c r="D40" s="33">
        <f>IF(Pay_Num&lt;&gt;"",Scheduled_Monthly_Payment,"")</f>
        <v>26333.835431927764</v>
      </c>
      <c r="E40" s="34">
        <f>IF(AND(Pay_Num&lt;&gt;"",Sched_Pay+Scheduled_Extra_Payments&lt;Beg_Bal),Scheduled_Extra_Payments,IF(AND(Pay_Num&lt;&gt;"",Beg_Bal-Sched_Pay&gt;0),Beg_Bal-Sched_Pay,IF(Pay_Num&lt;&gt;"",0,"")))</f>
        <v>0</v>
      </c>
      <c r="F40" s="33">
        <f>IF(AND(Pay_Num&lt;&gt;"",Sched_Pay+Extra_Pay&lt;Beg_Bal),Sched_Pay+Extra_Pay,IF(Pay_Num&lt;&gt;"",Beg_Bal,""))</f>
        <v>26333.835431927764</v>
      </c>
      <c r="G40" s="33">
        <f>IF(Pay_Num&lt;&gt;"",Total_Pay-Int,"")</f>
        <v>20330.984012682024</v>
      </c>
      <c r="H40" s="33">
        <f>IF(Pay_Num&lt;&gt;"",Beg_Bal*Interest_Rate/Num_Pmt_Per_Year,"")</f>
        <v>6002.8514192457415</v>
      </c>
      <c r="I40" s="33">
        <f>IF(AND(Pay_Num&lt;&gt;"",Sched_Pay+Extra_Pay&lt;Beg_Bal),Beg_Bal-Princ,IF(Pay_Num&lt;&gt;"",0,""))</f>
        <v>579954.15791189217</v>
      </c>
      <c r="J40" s="33">
        <f>SUM($H$18:$H40)</f>
        <v>185632.37284623072</v>
      </c>
    </row>
    <row r="41" spans="1:10" x14ac:dyDescent="0.3">
      <c r="A41" s="36">
        <f>IF(Values_Entered,A40+1,"")</f>
        <v>24</v>
      </c>
      <c r="B41" s="35">
        <f>IF(Pay_Num&lt;&gt;"",DATE(YEAR(Loan_Start),MONTH(Loan_Start)+(Pay_Num)*12/Num_Pmt_Per_Year,DAY(Loan_Start)),"")</f>
        <v>46113</v>
      </c>
      <c r="C41" s="33">
        <f>IF(Pay_Num&lt;&gt;"",I40,"")</f>
        <v>579954.15791189217</v>
      </c>
      <c r="D41" s="33">
        <f>IF(Pay_Num&lt;&gt;"",Scheduled_Monthly_Payment,"")</f>
        <v>26333.835431927764</v>
      </c>
      <c r="E41" s="34">
        <f>IF(AND(Pay_Num&lt;&gt;"",Sched_Pay+Scheduled_Extra_Payments&lt;Beg_Bal),Scheduled_Extra_Payments,IF(AND(Pay_Num&lt;&gt;"",Beg_Bal-Sched_Pay&gt;0),Beg_Bal-Sched_Pay,IF(Pay_Num&lt;&gt;"",0,"")))</f>
        <v>0</v>
      </c>
      <c r="F41" s="33">
        <f>IF(AND(Pay_Num&lt;&gt;"",Sched_Pay+Extra_Pay&lt;Beg_Bal),Sched_Pay+Extra_Pay,IF(Pay_Num&lt;&gt;"",Beg_Bal,""))</f>
        <v>26333.835431927764</v>
      </c>
      <c r="G41" s="33">
        <f>IF(Pay_Num&lt;&gt;"",Total_Pay-Int,"")</f>
        <v>20534.293852808842</v>
      </c>
      <c r="H41" s="33">
        <f>IF(Pay_Num&lt;&gt;"",Beg_Bal*Interest_Rate/Num_Pmt_Per_Year,"")</f>
        <v>5799.5415791189216</v>
      </c>
      <c r="I41" s="33">
        <f>IF(AND(Pay_Num&lt;&gt;"",Sched_Pay+Extra_Pay&lt;Beg_Bal),Beg_Bal-Princ,IF(Pay_Num&lt;&gt;"",0,""))</f>
        <v>559419.86405908328</v>
      </c>
      <c r="J41" s="33">
        <f>SUM($H$18:$H41)</f>
        <v>191431.91442534965</v>
      </c>
    </row>
    <row r="42" spans="1:10" x14ac:dyDescent="0.3">
      <c r="A42" s="36">
        <f>IF(Values_Entered,A41+1,"")</f>
        <v>25</v>
      </c>
      <c r="B42" s="35">
        <f>IF(Pay_Num&lt;&gt;"",DATE(YEAR(Loan_Start),MONTH(Loan_Start)+(Pay_Num)*12/Num_Pmt_Per_Year,DAY(Loan_Start)),"")</f>
        <v>46143</v>
      </c>
      <c r="C42" s="33">
        <f>IF(Pay_Num&lt;&gt;"",I41,"")</f>
        <v>559419.86405908328</v>
      </c>
      <c r="D42" s="33">
        <f>IF(Pay_Num&lt;&gt;"",Scheduled_Monthly_Payment,"")</f>
        <v>26333.835431927764</v>
      </c>
      <c r="E42" s="34">
        <f>IF(AND(Pay_Num&lt;&gt;"",Sched_Pay+Scheduled_Extra_Payments&lt;Beg_Bal),Scheduled_Extra_Payments,IF(AND(Pay_Num&lt;&gt;"",Beg_Bal-Sched_Pay&gt;0),Beg_Bal-Sched_Pay,IF(Pay_Num&lt;&gt;"",0,"")))</f>
        <v>0</v>
      </c>
      <c r="F42" s="33">
        <f>IF(AND(Pay_Num&lt;&gt;"",Sched_Pay+Extra_Pay&lt;Beg_Bal),Sched_Pay+Extra_Pay,IF(Pay_Num&lt;&gt;"",Beg_Bal,""))</f>
        <v>26333.835431927764</v>
      </c>
      <c r="G42" s="33">
        <f>IF(Pay_Num&lt;&gt;"",Total_Pay-Int,"")</f>
        <v>20739.636791336932</v>
      </c>
      <c r="H42" s="33">
        <f>IF(Pay_Num&lt;&gt;"",Beg_Bal*Interest_Rate/Num_Pmt_Per_Year,"")</f>
        <v>5594.1986405908328</v>
      </c>
      <c r="I42" s="33">
        <f>IF(AND(Pay_Num&lt;&gt;"",Sched_Pay+Extra_Pay&lt;Beg_Bal),Beg_Bal-Princ,IF(Pay_Num&lt;&gt;"",0,""))</f>
        <v>538680.22726774635</v>
      </c>
      <c r="J42" s="33">
        <f>SUM($H$18:$H42)</f>
        <v>197026.11306594047</v>
      </c>
    </row>
    <row r="43" spans="1:10" x14ac:dyDescent="0.3">
      <c r="A43" s="36">
        <f>IF(Values_Entered,A42+1,"")</f>
        <v>26</v>
      </c>
      <c r="B43" s="35">
        <f>IF(Pay_Num&lt;&gt;"",DATE(YEAR(Loan_Start),MONTH(Loan_Start)+(Pay_Num)*12/Num_Pmt_Per_Year,DAY(Loan_Start)),"")</f>
        <v>46174</v>
      </c>
      <c r="C43" s="33">
        <f>IF(Pay_Num&lt;&gt;"",I42,"")</f>
        <v>538680.22726774635</v>
      </c>
      <c r="D43" s="33">
        <f>IF(Pay_Num&lt;&gt;"",Scheduled_Monthly_Payment,"")</f>
        <v>26333.835431927764</v>
      </c>
      <c r="E43" s="34">
        <f>IF(AND(Pay_Num&lt;&gt;"",Sched_Pay+Scheduled_Extra_Payments&lt;Beg_Bal),Scheduled_Extra_Payments,IF(AND(Pay_Num&lt;&gt;"",Beg_Bal-Sched_Pay&gt;0),Beg_Bal-Sched_Pay,IF(Pay_Num&lt;&gt;"",0,"")))</f>
        <v>0</v>
      </c>
      <c r="F43" s="33">
        <f>IF(AND(Pay_Num&lt;&gt;"",Sched_Pay+Extra_Pay&lt;Beg_Bal),Sched_Pay+Extra_Pay,IF(Pay_Num&lt;&gt;"",Beg_Bal,""))</f>
        <v>26333.835431927764</v>
      </c>
      <c r="G43" s="33">
        <f>IF(Pay_Num&lt;&gt;"",Total_Pay-Int,"")</f>
        <v>20947.033159250299</v>
      </c>
      <c r="H43" s="33">
        <f>IF(Pay_Num&lt;&gt;"",Beg_Bal*Interest_Rate/Num_Pmt_Per_Year,"")</f>
        <v>5386.8022726774634</v>
      </c>
      <c r="I43" s="33">
        <f>IF(AND(Pay_Num&lt;&gt;"",Sched_Pay+Extra_Pay&lt;Beg_Bal),Beg_Bal-Princ,IF(Pay_Num&lt;&gt;"",0,""))</f>
        <v>517733.19410849607</v>
      </c>
      <c r="J43" s="33">
        <f>SUM($H$18:$H43)</f>
        <v>202412.91533861792</v>
      </c>
    </row>
    <row r="44" spans="1:10" x14ac:dyDescent="0.3">
      <c r="A44" s="36">
        <f>IF(Values_Entered,A43+1,"")</f>
        <v>27</v>
      </c>
      <c r="B44" s="35">
        <f>IF(Pay_Num&lt;&gt;"",DATE(YEAR(Loan_Start),MONTH(Loan_Start)+(Pay_Num)*12/Num_Pmt_Per_Year,DAY(Loan_Start)),"")</f>
        <v>46204</v>
      </c>
      <c r="C44" s="33">
        <f>IF(Pay_Num&lt;&gt;"",I43,"")</f>
        <v>517733.19410849607</v>
      </c>
      <c r="D44" s="33">
        <f>IF(Pay_Num&lt;&gt;"",Scheduled_Monthly_Payment,"")</f>
        <v>26333.835431927764</v>
      </c>
      <c r="E44" s="34">
        <f>IF(AND(Pay_Num&lt;&gt;"",Sched_Pay+Scheduled_Extra_Payments&lt;Beg_Bal),Scheduled_Extra_Payments,IF(AND(Pay_Num&lt;&gt;"",Beg_Bal-Sched_Pay&gt;0),Beg_Bal-Sched_Pay,IF(Pay_Num&lt;&gt;"",0,"")))</f>
        <v>0</v>
      </c>
      <c r="F44" s="33">
        <f>IF(AND(Pay_Num&lt;&gt;"",Sched_Pay+Extra_Pay&lt;Beg_Bal),Sched_Pay+Extra_Pay,IF(Pay_Num&lt;&gt;"",Beg_Bal,""))</f>
        <v>26333.835431927764</v>
      </c>
      <c r="G44" s="33">
        <f>IF(Pay_Num&lt;&gt;"",Total_Pay-Int,"")</f>
        <v>21156.503490842802</v>
      </c>
      <c r="H44" s="33">
        <f>IF(Pay_Num&lt;&gt;"",Beg_Bal*Interest_Rate/Num_Pmt_Per_Year,"")</f>
        <v>5177.3319410849608</v>
      </c>
      <c r="I44" s="33">
        <f>IF(AND(Pay_Num&lt;&gt;"",Sched_Pay+Extra_Pay&lt;Beg_Bal),Beg_Bal-Princ,IF(Pay_Num&lt;&gt;"",0,""))</f>
        <v>496576.69061765325</v>
      </c>
      <c r="J44" s="33">
        <f>SUM($H$18:$H44)</f>
        <v>207590.24727970289</v>
      </c>
    </row>
    <row r="45" spans="1:10" x14ac:dyDescent="0.3">
      <c r="A45" s="36">
        <f>IF(Values_Entered,A44+1,"")</f>
        <v>28</v>
      </c>
      <c r="B45" s="35">
        <f>IF(Pay_Num&lt;&gt;"",DATE(YEAR(Loan_Start),MONTH(Loan_Start)+(Pay_Num)*12/Num_Pmt_Per_Year,DAY(Loan_Start)),"")</f>
        <v>46235</v>
      </c>
      <c r="C45" s="33">
        <f>IF(Pay_Num&lt;&gt;"",I44,"")</f>
        <v>496576.69061765325</v>
      </c>
      <c r="D45" s="33">
        <f>IF(Pay_Num&lt;&gt;"",Scheduled_Monthly_Payment,"")</f>
        <v>26333.835431927764</v>
      </c>
      <c r="E45" s="34">
        <f>IF(AND(Pay_Num&lt;&gt;"",Sched_Pay+Scheduled_Extra_Payments&lt;Beg_Bal),Scheduled_Extra_Payments,IF(AND(Pay_Num&lt;&gt;"",Beg_Bal-Sched_Pay&gt;0),Beg_Bal-Sched_Pay,IF(Pay_Num&lt;&gt;"",0,"")))</f>
        <v>0</v>
      </c>
      <c r="F45" s="33">
        <f>IF(AND(Pay_Num&lt;&gt;"",Sched_Pay+Extra_Pay&lt;Beg_Bal),Sched_Pay+Extra_Pay,IF(Pay_Num&lt;&gt;"",Beg_Bal,""))</f>
        <v>26333.835431927764</v>
      </c>
      <c r="G45" s="33">
        <f>IF(Pay_Num&lt;&gt;"",Total_Pay-Int,"")</f>
        <v>21368.06852575123</v>
      </c>
      <c r="H45" s="33">
        <f>IF(Pay_Num&lt;&gt;"",Beg_Bal*Interest_Rate/Num_Pmt_Per_Year,"")</f>
        <v>4965.7669061765328</v>
      </c>
      <c r="I45" s="33">
        <f>IF(AND(Pay_Num&lt;&gt;"",Sched_Pay+Extra_Pay&lt;Beg_Bal),Beg_Bal-Princ,IF(Pay_Num&lt;&gt;"",0,""))</f>
        <v>475208.62209190201</v>
      </c>
      <c r="J45" s="33">
        <f>SUM($H$18:$H45)</f>
        <v>212556.01418587941</v>
      </c>
    </row>
    <row r="46" spans="1:10" x14ac:dyDescent="0.3">
      <c r="A46" s="36">
        <f>IF(Values_Entered,A45+1,"")</f>
        <v>29</v>
      </c>
      <c r="B46" s="35">
        <f>IF(Pay_Num&lt;&gt;"",DATE(YEAR(Loan_Start),MONTH(Loan_Start)+(Pay_Num)*12/Num_Pmt_Per_Year,DAY(Loan_Start)),"")</f>
        <v>46266</v>
      </c>
      <c r="C46" s="33">
        <f>IF(Pay_Num&lt;&gt;"",I45,"")</f>
        <v>475208.62209190201</v>
      </c>
      <c r="D46" s="33">
        <f>IF(Pay_Num&lt;&gt;"",Scheduled_Monthly_Payment,"")</f>
        <v>26333.835431927764</v>
      </c>
      <c r="E46" s="34">
        <f>IF(AND(Pay_Num&lt;&gt;"",Sched_Pay+Scheduled_Extra_Payments&lt;Beg_Bal),Scheduled_Extra_Payments,IF(AND(Pay_Num&lt;&gt;"",Beg_Bal-Sched_Pay&gt;0),Beg_Bal-Sched_Pay,IF(Pay_Num&lt;&gt;"",0,"")))</f>
        <v>0</v>
      </c>
      <c r="F46" s="33">
        <f>IF(AND(Pay_Num&lt;&gt;"",Sched_Pay+Extra_Pay&lt;Beg_Bal),Sched_Pay+Extra_Pay,IF(Pay_Num&lt;&gt;"",Beg_Bal,""))</f>
        <v>26333.835431927764</v>
      </c>
      <c r="G46" s="33">
        <f>IF(Pay_Num&lt;&gt;"",Total_Pay-Int,"")</f>
        <v>21581.749211008744</v>
      </c>
      <c r="H46" s="33">
        <f>IF(Pay_Num&lt;&gt;"",Beg_Bal*Interest_Rate/Num_Pmt_Per_Year,"")</f>
        <v>4752.08622091902</v>
      </c>
      <c r="I46" s="33">
        <f>IF(AND(Pay_Num&lt;&gt;"",Sched_Pay+Extra_Pay&lt;Beg_Bal),Beg_Bal-Princ,IF(Pay_Num&lt;&gt;"",0,""))</f>
        <v>453626.87288089329</v>
      </c>
      <c r="J46" s="33">
        <f>SUM($H$18:$H46)</f>
        <v>217308.10040679842</v>
      </c>
    </row>
    <row r="47" spans="1:10" x14ac:dyDescent="0.3">
      <c r="A47" s="36">
        <f>IF(Values_Entered,A46+1,"")</f>
        <v>30</v>
      </c>
      <c r="B47" s="35">
        <f>IF(Pay_Num&lt;&gt;"",DATE(YEAR(Loan_Start),MONTH(Loan_Start)+(Pay_Num)*12/Num_Pmt_Per_Year,DAY(Loan_Start)),"")</f>
        <v>46296</v>
      </c>
      <c r="C47" s="33">
        <f>IF(Pay_Num&lt;&gt;"",I46,"")</f>
        <v>453626.87288089329</v>
      </c>
      <c r="D47" s="33">
        <f>IF(Pay_Num&lt;&gt;"",Scheduled_Monthly_Payment,"")</f>
        <v>26333.835431927764</v>
      </c>
      <c r="E47" s="34">
        <f>IF(AND(Pay_Num&lt;&gt;"",Sched_Pay+Scheduled_Extra_Payments&lt;Beg_Bal),Scheduled_Extra_Payments,IF(AND(Pay_Num&lt;&gt;"",Beg_Bal-Sched_Pay&gt;0),Beg_Bal-Sched_Pay,IF(Pay_Num&lt;&gt;"",0,"")))</f>
        <v>0</v>
      </c>
      <c r="F47" s="33">
        <f>IF(AND(Pay_Num&lt;&gt;"",Sched_Pay+Extra_Pay&lt;Beg_Bal),Sched_Pay+Extra_Pay,IF(Pay_Num&lt;&gt;"",Beg_Bal,""))</f>
        <v>26333.835431927764</v>
      </c>
      <c r="G47" s="33">
        <f>IF(Pay_Num&lt;&gt;"",Total_Pay-Int,"")</f>
        <v>21797.566703118831</v>
      </c>
      <c r="H47" s="33">
        <f>IF(Pay_Num&lt;&gt;"",Beg_Bal*Interest_Rate/Num_Pmt_Per_Year,"")</f>
        <v>4536.2687288089328</v>
      </c>
      <c r="I47" s="33">
        <f>IF(AND(Pay_Num&lt;&gt;"",Sched_Pay+Extra_Pay&lt;Beg_Bal),Beg_Bal-Princ,IF(Pay_Num&lt;&gt;"",0,""))</f>
        <v>431829.30617777444</v>
      </c>
      <c r="J47" s="33">
        <f>SUM($H$18:$H47)</f>
        <v>221844.36913560735</v>
      </c>
    </row>
    <row r="48" spans="1:10" x14ac:dyDescent="0.3">
      <c r="A48" s="36">
        <f>IF(Values_Entered,A47+1,"")</f>
        <v>31</v>
      </c>
      <c r="B48" s="35">
        <f>IF(Pay_Num&lt;&gt;"",DATE(YEAR(Loan_Start),MONTH(Loan_Start)+(Pay_Num)*12/Num_Pmt_Per_Year,DAY(Loan_Start)),"")</f>
        <v>46327</v>
      </c>
      <c r="C48" s="33">
        <f>IF(Pay_Num&lt;&gt;"",I47,"")</f>
        <v>431829.30617777444</v>
      </c>
      <c r="D48" s="33">
        <f>IF(Pay_Num&lt;&gt;"",Scheduled_Monthly_Payment,"")</f>
        <v>26333.835431927764</v>
      </c>
      <c r="E48" s="34">
        <f>IF(AND(Pay_Num&lt;&gt;"",Sched_Pay+Scheduled_Extra_Payments&lt;Beg_Bal),Scheduled_Extra_Payments,IF(AND(Pay_Num&lt;&gt;"",Beg_Bal-Sched_Pay&gt;0),Beg_Bal-Sched_Pay,IF(Pay_Num&lt;&gt;"",0,"")))</f>
        <v>0</v>
      </c>
      <c r="F48" s="33">
        <f>IF(AND(Pay_Num&lt;&gt;"",Sched_Pay+Extra_Pay&lt;Beg_Bal),Sched_Pay+Extra_Pay,IF(Pay_Num&lt;&gt;"",Beg_Bal,""))</f>
        <v>26333.835431927764</v>
      </c>
      <c r="G48" s="33">
        <f>IF(Pay_Num&lt;&gt;"",Total_Pay-Int,"")</f>
        <v>22015.542370150019</v>
      </c>
      <c r="H48" s="33">
        <f>IF(Pay_Num&lt;&gt;"",Beg_Bal*Interest_Rate/Num_Pmt_Per_Year,"")</f>
        <v>4318.2930617777447</v>
      </c>
      <c r="I48" s="33">
        <f>IF(AND(Pay_Num&lt;&gt;"",Sched_Pay+Extra_Pay&lt;Beg_Bal),Beg_Bal-Princ,IF(Pay_Num&lt;&gt;"",0,""))</f>
        <v>409813.7638076244</v>
      </c>
      <c r="J48" s="33">
        <f>SUM($H$18:$H48)</f>
        <v>226162.6621973851</v>
      </c>
    </row>
    <row r="49" spans="1:10" x14ac:dyDescent="0.3">
      <c r="A49" s="36">
        <f>IF(Values_Entered,A48+1,"")</f>
        <v>32</v>
      </c>
      <c r="B49" s="35">
        <f>IF(Pay_Num&lt;&gt;"",DATE(YEAR(Loan_Start),MONTH(Loan_Start)+(Pay_Num)*12/Num_Pmt_Per_Year,DAY(Loan_Start)),"")</f>
        <v>46357</v>
      </c>
      <c r="C49" s="33">
        <f>IF(Pay_Num&lt;&gt;"",I48,"")</f>
        <v>409813.7638076244</v>
      </c>
      <c r="D49" s="33">
        <f>IF(Pay_Num&lt;&gt;"",Scheduled_Monthly_Payment,"")</f>
        <v>26333.835431927764</v>
      </c>
      <c r="E49" s="34">
        <f>IF(AND(Pay_Num&lt;&gt;"",Sched_Pay+Scheduled_Extra_Payments&lt;Beg_Bal),Scheduled_Extra_Payments,IF(AND(Pay_Num&lt;&gt;"",Beg_Bal-Sched_Pay&gt;0),Beg_Bal-Sched_Pay,IF(Pay_Num&lt;&gt;"",0,"")))</f>
        <v>0</v>
      </c>
      <c r="F49" s="33">
        <f>IF(AND(Pay_Num&lt;&gt;"",Sched_Pay+Extra_Pay&lt;Beg_Bal),Sched_Pay+Extra_Pay,IF(Pay_Num&lt;&gt;"",Beg_Bal,""))</f>
        <v>26333.835431927764</v>
      </c>
      <c r="G49" s="33">
        <f>IF(Pay_Num&lt;&gt;"",Total_Pay-Int,"")</f>
        <v>22235.697793851519</v>
      </c>
      <c r="H49" s="33">
        <f>IF(Pay_Num&lt;&gt;"",Beg_Bal*Interest_Rate/Num_Pmt_Per_Year,"")</f>
        <v>4098.137638076244</v>
      </c>
      <c r="I49" s="33">
        <f>IF(AND(Pay_Num&lt;&gt;"",Sched_Pay+Extra_Pay&lt;Beg_Bal),Beg_Bal-Princ,IF(Pay_Num&lt;&gt;"",0,""))</f>
        <v>387578.06601377286</v>
      </c>
      <c r="J49" s="33">
        <f>SUM($H$18:$H49)</f>
        <v>230260.79983546134</v>
      </c>
    </row>
    <row r="50" spans="1:10" x14ac:dyDescent="0.3">
      <c r="A50" s="36">
        <f>IF(Values_Entered,A49+1,"")</f>
        <v>33</v>
      </c>
      <c r="B50" s="35">
        <f>IF(Pay_Num&lt;&gt;"",DATE(YEAR(Loan_Start),MONTH(Loan_Start)+(Pay_Num)*12/Num_Pmt_Per_Year,DAY(Loan_Start)),"")</f>
        <v>46388</v>
      </c>
      <c r="C50" s="33">
        <f>IF(Pay_Num&lt;&gt;"",I49,"")</f>
        <v>387578.06601377286</v>
      </c>
      <c r="D50" s="33">
        <f>IF(Pay_Num&lt;&gt;"",Scheduled_Monthly_Payment,"")</f>
        <v>26333.835431927764</v>
      </c>
      <c r="E50" s="34">
        <f>IF(AND(Pay_Num&lt;&gt;"",Sched_Pay+Scheduled_Extra_Payments&lt;Beg_Bal),Scheduled_Extra_Payments,IF(AND(Pay_Num&lt;&gt;"",Beg_Bal-Sched_Pay&gt;0),Beg_Bal-Sched_Pay,IF(Pay_Num&lt;&gt;"",0,"")))</f>
        <v>0</v>
      </c>
      <c r="F50" s="33">
        <f>IF(AND(Pay_Num&lt;&gt;"",Sched_Pay+Extra_Pay&lt;Beg_Bal),Sched_Pay+Extra_Pay,IF(Pay_Num&lt;&gt;"",Beg_Bal,""))</f>
        <v>26333.835431927764</v>
      </c>
      <c r="G50" s="33">
        <f>IF(Pay_Num&lt;&gt;"",Total_Pay-Int,"")</f>
        <v>22458.054771790037</v>
      </c>
      <c r="H50" s="33">
        <f>IF(Pay_Num&lt;&gt;"",Beg_Bal*Interest_Rate/Num_Pmt_Per_Year,"")</f>
        <v>3875.7806601377283</v>
      </c>
      <c r="I50" s="33">
        <f>IF(AND(Pay_Num&lt;&gt;"",Sched_Pay+Extra_Pay&lt;Beg_Bal),Beg_Bal-Princ,IF(Pay_Num&lt;&gt;"",0,""))</f>
        <v>365120.01124198281</v>
      </c>
      <c r="J50" s="33">
        <f>SUM($H$18:$H50)</f>
        <v>234136.58049559908</v>
      </c>
    </row>
    <row r="51" spans="1:10" x14ac:dyDescent="0.3">
      <c r="A51" s="36">
        <f>IF(Values_Entered,A50+1,"")</f>
        <v>34</v>
      </c>
      <c r="B51" s="35">
        <f>IF(Pay_Num&lt;&gt;"",DATE(YEAR(Loan_Start),MONTH(Loan_Start)+(Pay_Num)*12/Num_Pmt_Per_Year,DAY(Loan_Start)),"")</f>
        <v>46419</v>
      </c>
      <c r="C51" s="33">
        <f>IF(Pay_Num&lt;&gt;"",I50,"")</f>
        <v>365120.01124198281</v>
      </c>
      <c r="D51" s="33">
        <f>IF(Pay_Num&lt;&gt;"",Scheduled_Monthly_Payment,"")</f>
        <v>26333.835431927764</v>
      </c>
      <c r="E51" s="34">
        <f>IF(AND(Pay_Num&lt;&gt;"",Sched_Pay+Scheduled_Extra_Payments&lt;Beg_Bal),Scheduled_Extra_Payments,IF(AND(Pay_Num&lt;&gt;"",Beg_Bal-Sched_Pay&gt;0),Beg_Bal-Sched_Pay,IF(Pay_Num&lt;&gt;"",0,"")))</f>
        <v>0</v>
      </c>
      <c r="F51" s="33">
        <f>IF(AND(Pay_Num&lt;&gt;"",Sched_Pay+Extra_Pay&lt;Beg_Bal),Sched_Pay+Extra_Pay,IF(Pay_Num&lt;&gt;"",Beg_Bal,""))</f>
        <v>26333.835431927764</v>
      </c>
      <c r="G51" s="33">
        <f>IF(Pay_Num&lt;&gt;"",Total_Pay-Int,"")</f>
        <v>22682.635319507935</v>
      </c>
      <c r="H51" s="33">
        <f>IF(Pay_Num&lt;&gt;"",Beg_Bal*Interest_Rate/Num_Pmt_Per_Year,"")</f>
        <v>3651.2001124198282</v>
      </c>
      <c r="I51" s="33">
        <f>IF(AND(Pay_Num&lt;&gt;"",Sched_Pay+Extra_Pay&lt;Beg_Bal),Beg_Bal-Princ,IF(Pay_Num&lt;&gt;"",0,""))</f>
        <v>342437.37592247489</v>
      </c>
      <c r="J51" s="33">
        <f>SUM($H$18:$H51)</f>
        <v>237787.78060801889</v>
      </c>
    </row>
    <row r="52" spans="1:10" x14ac:dyDescent="0.3">
      <c r="A52" s="36">
        <f>IF(Values_Entered,A51+1,"")</f>
        <v>35</v>
      </c>
      <c r="B52" s="35">
        <f>IF(Pay_Num&lt;&gt;"",DATE(YEAR(Loan_Start),MONTH(Loan_Start)+(Pay_Num)*12/Num_Pmt_Per_Year,DAY(Loan_Start)),"")</f>
        <v>46447</v>
      </c>
      <c r="C52" s="33">
        <f>IF(Pay_Num&lt;&gt;"",I51,"")</f>
        <v>342437.37592247489</v>
      </c>
      <c r="D52" s="33">
        <f>IF(Pay_Num&lt;&gt;"",Scheduled_Monthly_Payment,"")</f>
        <v>26333.835431927764</v>
      </c>
      <c r="E52" s="34">
        <f>IF(AND(Pay_Num&lt;&gt;"",Sched_Pay+Scheduled_Extra_Payments&lt;Beg_Bal),Scheduled_Extra_Payments,IF(AND(Pay_Num&lt;&gt;"",Beg_Bal-Sched_Pay&gt;0),Beg_Bal-Sched_Pay,IF(Pay_Num&lt;&gt;"",0,"")))</f>
        <v>0</v>
      </c>
      <c r="F52" s="33">
        <f>IF(AND(Pay_Num&lt;&gt;"",Sched_Pay+Extra_Pay&lt;Beg_Bal),Sched_Pay+Extra_Pay,IF(Pay_Num&lt;&gt;"",Beg_Bal,""))</f>
        <v>26333.835431927764</v>
      </c>
      <c r="G52" s="33">
        <f>IF(Pay_Num&lt;&gt;"",Total_Pay-Int,"")</f>
        <v>22909.461672703015</v>
      </c>
      <c r="H52" s="33">
        <f>IF(Pay_Num&lt;&gt;"",Beg_Bal*Interest_Rate/Num_Pmt_Per_Year,"")</f>
        <v>3424.3737592247489</v>
      </c>
      <c r="I52" s="33">
        <f>IF(AND(Pay_Num&lt;&gt;"",Sched_Pay+Extra_Pay&lt;Beg_Bal),Beg_Bal-Princ,IF(Pay_Num&lt;&gt;"",0,""))</f>
        <v>319527.91424977186</v>
      </c>
      <c r="J52" s="33">
        <f>SUM($H$18:$H52)</f>
        <v>241212.15436724364</v>
      </c>
    </row>
    <row r="53" spans="1:10" x14ac:dyDescent="0.3">
      <c r="A53" s="36">
        <f>IF(Values_Entered,A52+1,"")</f>
        <v>36</v>
      </c>
      <c r="B53" s="35">
        <f>IF(Pay_Num&lt;&gt;"",DATE(YEAR(Loan_Start),MONTH(Loan_Start)+(Pay_Num)*12/Num_Pmt_Per_Year,DAY(Loan_Start)),"")</f>
        <v>46478</v>
      </c>
      <c r="C53" s="33">
        <f>IF(Pay_Num&lt;&gt;"",I52,"")</f>
        <v>319527.91424977186</v>
      </c>
      <c r="D53" s="33">
        <f>IF(Pay_Num&lt;&gt;"",Scheduled_Monthly_Payment,"")</f>
        <v>26333.835431927764</v>
      </c>
      <c r="E53" s="34">
        <f>IF(AND(Pay_Num&lt;&gt;"",Sched_Pay+Scheduled_Extra_Payments&lt;Beg_Bal),Scheduled_Extra_Payments,IF(AND(Pay_Num&lt;&gt;"",Beg_Bal-Sched_Pay&gt;0),Beg_Bal-Sched_Pay,IF(Pay_Num&lt;&gt;"",0,"")))</f>
        <v>0</v>
      </c>
      <c r="F53" s="33">
        <f>IF(AND(Pay_Num&lt;&gt;"",Sched_Pay+Extra_Pay&lt;Beg_Bal),Sched_Pay+Extra_Pay,IF(Pay_Num&lt;&gt;"",Beg_Bal,""))</f>
        <v>26333.835431927764</v>
      </c>
      <c r="G53" s="33">
        <f>IF(Pay_Num&lt;&gt;"",Total_Pay-Int,"")</f>
        <v>23138.556289430046</v>
      </c>
      <c r="H53" s="33">
        <f>IF(Pay_Num&lt;&gt;"",Beg_Bal*Interest_Rate/Num_Pmt_Per_Year,"")</f>
        <v>3195.2791424977186</v>
      </c>
      <c r="I53" s="33">
        <f>IF(AND(Pay_Num&lt;&gt;"",Sched_Pay+Extra_Pay&lt;Beg_Bal),Beg_Bal-Princ,IF(Pay_Num&lt;&gt;"",0,""))</f>
        <v>296389.35796034179</v>
      </c>
      <c r="J53" s="33">
        <f>SUM($H$18:$H53)</f>
        <v>244407.43350974136</v>
      </c>
    </row>
    <row r="54" spans="1:10" x14ac:dyDescent="0.3">
      <c r="A54" s="36">
        <f>IF(Values_Entered,A53+1,"")</f>
        <v>37</v>
      </c>
      <c r="B54" s="35">
        <f>IF(Pay_Num&lt;&gt;"",DATE(YEAR(Loan_Start),MONTH(Loan_Start)+(Pay_Num)*12/Num_Pmt_Per_Year,DAY(Loan_Start)),"")</f>
        <v>46508</v>
      </c>
      <c r="C54" s="33">
        <f>IF(Pay_Num&lt;&gt;"",I53,"")</f>
        <v>296389.35796034179</v>
      </c>
      <c r="D54" s="33">
        <f>IF(Pay_Num&lt;&gt;"",Scheduled_Monthly_Payment,"")</f>
        <v>26333.835431927764</v>
      </c>
      <c r="E54" s="34">
        <f>IF(AND(Pay_Num&lt;&gt;"",Sched_Pay+Scheduled_Extra_Payments&lt;Beg_Bal),Scheduled_Extra_Payments,IF(AND(Pay_Num&lt;&gt;"",Beg_Bal-Sched_Pay&gt;0),Beg_Bal-Sched_Pay,IF(Pay_Num&lt;&gt;"",0,"")))</f>
        <v>0</v>
      </c>
      <c r="F54" s="33">
        <f>IF(AND(Pay_Num&lt;&gt;"",Sched_Pay+Extra_Pay&lt;Beg_Bal),Sched_Pay+Extra_Pay,IF(Pay_Num&lt;&gt;"",Beg_Bal,""))</f>
        <v>26333.835431927764</v>
      </c>
      <c r="G54" s="33">
        <f>IF(Pay_Num&lt;&gt;"",Total_Pay-Int,"")</f>
        <v>23369.941852324348</v>
      </c>
      <c r="H54" s="33">
        <f>IF(Pay_Num&lt;&gt;"",Beg_Bal*Interest_Rate/Num_Pmt_Per_Year,"")</f>
        <v>2963.8935796034179</v>
      </c>
      <c r="I54" s="33">
        <f>IF(AND(Pay_Num&lt;&gt;"",Sched_Pay+Extra_Pay&lt;Beg_Bal),Beg_Bal-Princ,IF(Pay_Num&lt;&gt;"",0,""))</f>
        <v>273019.41610801744</v>
      </c>
      <c r="J54" s="33">
        <f>SUM($H$18:$H54)</f>
        <v>247371.32708934476</v>
      </c>
    </row>
    <row r="55" spans="1:10" x14ac:dyDescent="0.3">
      <c r="A55" s="36">
        <f>IF(Values_Entered,A54+1,"")</f>
        <v>38</v>
      </c>
      <c r="B55" s="35">
        <f>IF(Pay_Num&lt;&gt;"",DATE(YEAR(Loan_Start),MONTH(Loan_Start)+(Pay_Num)*12/Num_Pmt_Per_Year,DAY(Loan_Start)),"")</f>
        <v>46539</v>
      </c>
      <c r="C55" s="33">
        <f>IF(Pay_Num&lt;&gt;"",I54,"")</f>
        <v>273019.41610801744</v>
      </c>
      <c r="D55" s="33">
        <f>IF(Pay_Num&lt;&gt;"",Scheduled_Monthly_Payment,"")</f>
        <v>26333.835431927764</v>
      </c>
      <c r="E55" s="34">
        <f>IF(AND(Pay_Num&lt;&gt;"",Sched_Pay+Scheduled_Extra_Payments&lt;Beg_Bal),Scheduled_Extra_Payments,IF(AND(Pay_Num&lt;&gt;"",Beg_Bal-Sched_Pay&gt;0),Beg_Bal-Sched_Pay,IF(Pay_Num&lt;&gt;"",0,"")))</f>
        <v>0</v>
      </c>
      <c r="F55" s="33">
        <f>IF(AND(Pay_Num&lt;&gt;"",Sched_Pay+Extra_Pay&lt;Beg_Bal),Sched_Pay+Extra_Pay,IF(Pay_Num&lt;&gt;"",Beg_Bal,""))</f>
        <v>26333.835431927764</v>
      </c>
      <c r="G55" s="33">
        <f>IF(Pay_Num&lt;&gt;"",Total_Pay-Int,"")</f>
        <v>23603.641270847591</v>
      </c>
      <c r="H55" s="33">
        <f>IF(Pay_Num&lt;&gt;"",Beg_Bal*Interest_Rate/Num_Pmt_Per_Year,"")</f>
        <v>2730.1941610801746</v>
      </c>
      <c r="I55" s="33">
        <f>IF(AND(Pay_Num&lt;&gt;"",Sched_Pay+Extra_Pay&lt;Beg_Bal),Beg_Bal-Princ,IF(Pay_Num&lt;&gt;"",0,""))</f>
        <v>249415.77483716985</v>
      </c>
      <c r="J55" s="33">
        <f>SUM($H$18:$H55)</f>
        <v>250101.52125042494</v>
      </c>
    </row>
    <row r="56" spans="1:10" x14ac:dyDescent="0.3">
      <c r="A56" s="36">
        <f>IF(Values_Entered,A55+1,"")</f>
        <v>39</v>
      </c>
      <c r="B56" s="35">
        <f>IF(Pay_Num&lt;&gt;"",DATE(YEAR(Loan_Start),MONTH(Loan_Start)+(Pay_Num)*12/Num_Pmt_Per_Year,DAY(Loan_Start)),"")</f>
        <v>46569</v>
      </c>
      <c r="C56" s="33">
        <f>IF(Pay_Num&lt;&gt;"",I55,"")</f>
        <v>249415.77483716985</v>
      </c>
      <c r="D56" s="33">
        <f>IF(Pay_Num&lt;&gt;"",Scheduled_Monthly_Payment,"")</f>
        <v>26333.835431927764</v>
      </c>
      <c r="E56" s="34">
        <f>IF(AND(Pay_Num&lt;&gt;"",Sched_Pay+Scheduled_Extra_Payments&lt;Beg_Bal),Scheduled_Extra_Payments,IF(AND(Pay_Num&lt;&gt;"",Beg_Bal-Sched_Pay&gt;0),Beg_Bal-Sched_Pay,IF(Pay_Num&lt;&gt;"",0,"")))</f>
        <v>0</v>
      </c>
      <c r="F56" s="33">
        <f>IF(AND(Pay_Num&lt;&gt;"",Sched_Pay+Extra_Pay&lt;Beg_Bal),Sched_Pay+Extra_Pay,IF(Pay_Num&lt;&gt;"",Beg_Bal,""))</f>
        <v>26333.835431927764</v>
      </c>
      <c r="G56" s="33">
        <f>IF(Pay_Num&lt;&gt;"",Total_Pay-Int,"")</f>
        <v>23839.677683556067</v>
      </c>
      <c r="H56" s="33">
        <f>IF(Pay_Num&lt;&gt;"",Beg_Bal*Interest_Rate/Num_Pmt_Per_Year,"")</f>
        <v>2494.1577483716987</v>
      </c>
      <c r="I56" s="33">
        <f>IF(AND(Pay_Num&lt;&gt;"",Sched_Pay+Extra_Pay&lt;Beg_Bal),Beg_Bal-Princ,IF(Pay_Num&lt;&gt;"",0,""))</f>
        <v>225576.09715361378</v>
      </c>
      <c r="J56" s="33">
        <f>SUM($H$18:$H56)</f>
        <v>252595.67899879665</v>
      </c>
    </row>
    <row r="57" spans="1:10" x14ac:dyDescent="0.3">
      <c r="A57" s="36">
        <f>IF(Values_Entered,A56+1,"")</f>
        <v>40</v>
      </c>
      <c r="B57" s="35">
        <f>IF(Pay_Num&lt;&gt;"",DATE(YEAR(Loan_Start),MONTH(Loan_Start)+(Pay_Num)*12/Num_Pmt_Per_Year,DAY(Loan_Start)),"")</f>
        <v>46600</v>
      </c>
      <c r="C57" s="33">
        <f>IF(Pay_Num&lt;&gt;"",I56,"")</f>
        <v>225576.09715361378</v>
      </c>
      <c r="D57" s="33">
        <f>IF(Pay_Num&lt;&gt;"",Scheduled_Monthly_Payment,"")</f>
        <v>26333.835431927764</v>
      </c>
      <c r="E57" s="34">
        <f>IF(AND(Pay_Num&lt;&gt;"",Sched_Pay+Scheduled_Extra_Payments&lt;Beg_Bal),Scheduled_Extra_Payments,IF(AND(Pay_Num&lt;&gt;"",Beg_Bal-Sched_Pay&gt;0),Beg_Bal-Sched_Pay,IF(Pay_Num&lt;&gt;"",0,"")))</f>
        <v>0</v>
      </c>
      <c r="F57" s="33">
        <f>IF(AND(Pay_Num&lt;&gt;"",Sched_Pay+Extra_Pay&lt;Beg_Bal),Sched_Pay+Extra_Pay,IF(Pay_Num&lt;&gt;"",Beg_Bal,""))</f>
        <v>26333.835431927764</v>
      </c>
      <c r="G57" s="33">
        <f>IF(Pay_Num&lt;&gt;"",Total_Pay-Int,"")</f>
        <v>24078.074460391625</v>
      </c>
      <c r="H57" s="33">
        <f>IF(Pay_Num&lt;&gt;"",Beg_Bal*Interest_Rate/Num_Pmt_Per_Year,"")</f>
        <v>2255.7609715361377</v>
      </c>
      <c r="I57" s="33">
        <f>IF(AND(Pay_Num&lt;&gt;"",Sched_Pay+Extra_Pay&lt;Beg_Bal),Beg_Bal-Princ,IF(Pay_Num&lt;&gt;"",0,""))</f>
        <v>201498.02269322216</v>
      </c>
      <c r="J57" s="33">
        <f>SUM($H$18:$H57)</f>
        <v>254851.43997033278</v>
      </c>
    </row>
    <row r="58" spans="1:10" x14ac:dyDescent="0.3">
      <c r="A58" s="36">
        <f>IF(Values_Entered,A57+1,"")</f>
        <v>41</v>
      </c>
      <c r="B58" s="35">
        <f>IF(Pay_Num&lt;&gt;"",DATE(YEAR(Loan_Start),MONTH(Loan_Start)+(Pay_Num)*12/Num_Pmt_Per_Year,DAY(Loan_Start)),"")</f>
        <v>46631</v>
      </c>
      <c r="C58" s="33">
        <f>IF(Pay_Num&lt;&gt;"",I57,"")</f>
        <v>201498.02269322216</v>
      </c>
      <c r="D58" s="33">
        <f>IF(Pay_Num&lt;&gt;"",Scheduled_Monthly_Payment,"")</f>
        <v>26333.835431927764</v>
      </c>
      <c r="E58" s="34">
        <f>IF(AND(Pay_Num&lt;&gt;"",Sched_Pay+Scheduled_Extra_Payments&lt;Beg_Bal),Scheduled_Extra_Payments,IF(AND(Pay_Num&lt;&gt;"",Beg_Bal-Sched_Pay&gt;0),Beg_Bal-Sched_Pay,IF(Pay_Num&lt;&gt;"",0,"")))</f>
        <v>0</v>
      </c>
      <c r="F58" s="33">
        <f>IF(AND(Pay_Num&lt;&gt;"",Sched_Pay+Extra_Pay&lt;Beg_Bal),Sched_Pay+Extra_Pay,IF(Pay_Num&lt;&gt;"",Beg_Bal,""))</f>
        <v>26333.835431927764</v>
      </c>
      <c r="G58" s="33">
        <f>IF(Pay_Num&lt;&gt;"",Total_Pay-Int,"")</f>
        <v>24318.855204995543</v>
      </c>
      <c r="H58" s="33">
        <f>IF(Pay_Num&lt;&gt;"",Beg_Bal*Interest_Rate/Num_Pmt_Per_Year,"")</f>
        <v>2014.9802269322215</v>
      </c>
      <c r="I58" s="33">
        <f>IF(AND(Pay_Num&lt;&gt;"",Sched_Pay+Extra_Pay&lt;Beg_Bal),Beg_Bal-Princ,IF(Pay_Num&lt;&gt;"",0,""))</f>
        <v>177179.16748822661</v>
      </c>
      <c r="J58" s="33">
        <f>SUM($H$18:$H58)</f>
        <v>256866.42019726499</v>
      </c>
    </row>
    <row r="59" spans="1:10" x14ac:dyDescent="0.3">
      <c r="A59" s="36">
        <f>IF(Values_Entered,A58+1,"")</f>
        <v>42</v>
      </c>
      <c r="B59" s="35">
        <f>IF(Pay_Num&lt;&gt;"",DATE(YEAR(Loan_Start),MONTH(Loan_Start)+(Pay_Num)*12/Num_Pmt_Per_Year,DAY(Loan_Start)),"")</f>
        <v>46661</v>
      </c>
      <c r="C59" s="33">
        <f>IF(Pay_Num&lt;&gt;"",I58,"")</f>
        <v>177179.16748822661</v>
      </c>
      <c r="D59" s="33">
        <f>IF(Pay_Num&lt;&gt;"",Scheduled_Monthly_Payment,"")</f>
        <v>26333.835431927764</v>
      </c>
      <c r="E59" s="34">
        <f>IF(AND(Pay_Num&lt;&gt;"",Sched_Pay+Scheduled_Extra_Payments&lt;Beg_Bal),Scheduled_Extra_Payments,IF(AND(Pay_Num&lt;&gt;"",Beg_Bal-Sched_Pay&gt;0),Beg_Bal-Sched_Pay,IF(Pay_Num&lt;&gt;"",0,"")))</f>
        <v>0</v>
      </c>
      <c r="F59" s="33">
        <f>IF(AND(Pay_Num&lt;&gt;"",Sched_Pay+Extra_Pay&lt;Beg_Bal),Sched_Pay+Extra_Pay,IF(Pay_Num&lt;&gt;"",Beg_Bal,""))</f>
        <v>26333.835431927764</v>
      </c>
      <c r="G59" s="33">
        <f>IF(Pay_Num&lt;&gt;"",Total_Pay-Int,"")</f>
        <v>24562.0437570455</v>
      </c>
      <c r="H59" s="33">
        <f>IF(Pay_Num&lt;&gt;"",Beg_Bal*Interest_Rate/Num_Pmt_Per_Year,"")</f>
        <v>1771.7916748822661</v>
      </c>
      <c r="I59" s="33">
        <f>IF(AND(Pay_Num&lt;&gt;"",Sched_Pay+Extra_Pay&lt;Beg_Bal),Beg_Bal-Princ,IF(Pay_Num&lt;&gt;"",0,""))</f>
        <v>152617.12373118111</v>
      </c>
      <c r="J59" s="33">
        <f>SUM($H$18:$H59)</f>
        <v>258638.21187214725</v>
      </c>
    </row>
    <row r="60" spans="1:10" x14ac:dyDescent="0.3">
      <c r="A60" s="36">
        <f>IF(Values_Entered,A59+1,"")</f>
        <v>43</v>
      </c>
      <c r="B60" s="35">
        <f>IF(Pay_Num&lt;&gt;"",DATE(YEAR(Loan_Start),MONTH(Loan_Start)+(Pay_Num)*12/Num_Pmt_Per_Year,DAY(Loan_Start)),"")</f>
        <v>46692</v>
      </c>
      <c r="C60" s="33">
        <f>IF(Pay_Num&lt;&gt;"",I59,"")</f>
        <v>152617.12373118111</v>
      </c>
      <c r="D60" s="33">
        <f>IF(Pay_Num&lt;&gt;"",Scheduled_Monthly_Payment,"")</f>
        <v>26333.835431927764</v>
      </c>
      <c r="E60" s="34">
        <f>IF(AND(Pay_Num&lt;&gt;"",Sched_Pay+Scheduled_Extra_Payments&lt;Beg_Bal),Scheduled_Extra_Payments,IF(AND(Pay_Num&lt;&gt;"",Beg_Bal-Sched_Pay&gt;0),Beg_Bal-Sched_Pay,IF(Pay_Num&lt;&gt;"",0,"")))</f>
        <v>0</v>
      </c>
      <c r="F60" s="33">
        <f>IF(AND(Pay_Num&lt;&gt;"",Sched_Pay+Extra_Pay&lt;Beg_Bal),Sched_Pay+Extra_Pay,IF(Pay_Num&lt;&gt;"",Beg_Bal,""))</f>
        <v>26333.835431927764</v>
      </c>
      <c r="G60" s="33">
        <f>IF(Pay_Num&lt;&gt;"",Total_Pay-Int,"")</f>
        <v>24807.664194615954</v>
      </c>
      <c r="H60" s="33">
        <f>IF(Pay_Num&lt;&gt;"",Beg_Bal*Interest_Rate/Num_Pmt_Per_Year,"")</f>
        <v>1526.171237311811</v>
      </c>
      <c r="I60" s="33">
        <f>IF(AND(Pay_Num&lt;&gt;"",Sched_Pay+Extra_Pay&lt;Beg_Bal),Beg_Bal-Princ,IF(Pay_Num&lt;&gt;"",0,""))</f>
        <v>127809.45953656516</v>
      </c>
      <c r="J60" s="33">
        <f>SUM($H$18:$H60)</f>
        <v>260164.38310945907</v>
      </c>
    </row>
    <row r="61" spans="1:10" x14ac:dyDescent="0.3">
      <c r="A61" s="36">
        <f>IF(Values_Entered,A60+1,"")</f>
        <v>44</v>
      </c>
      <c r="B61" s="35">
        <f>IF(Pay_Num&lt;&gt;"",DATE(YEAR(Loan_Start),MONTH(Loan_Start)+(Pay_Num)*12/Num_Pmt_Per_Year,DAY(Loan_Start)),"")</f>
        <v>46722</v>
      </c>
      <c r="C61" s="33">
        <f>IF(Pay_Num&lt;&gt;"",I60,"")</f>
        <v>127809.45953656516</v>
      </c>
      <c r="D61" s="33">
        <f>IF(Pay_Num&lt;&gt;"",Scheduled_Monthly_Payment,"")</f>
        <v>26333.835431927764</v>
      </c>
      <c r="E61" s="34">
        <f>IF(AND(Pay_Num&lt;&gt;"",Sched_Pay+Scheduled_Extra_Payments&lt;Beg_Bal),Scheduled_Extra_Payments,IF(AND(Pay_Num&lt;&gt;"",Beg_Bal-Sched_Pay&gt;0),Beg_Bal-Sched_Pay,IF(Pay_Num&lt;&gt;"",0,"")))</f>
        <v>0</v>
      </c>
      <c r="F61" s="33">
        <f>IF(AND(Pay_Num&lt;&gt;"",Sched_Pay+Extra_Pay&lt;Beg_Bal),Sched_Pay+Extra_Pay,IF(Pay_Num&lt;&gt;"",Beg_Bal,""))</f>
        <v>26333.835431927764</v>
      </c>
      <c r="G61" s="33">
        <f>IF(Pay_Num&lt;&gt;"",Total_Pay-Int,"")</f>
        <v>25055.740836562112</v>
      </c>
      <c r="H61" s="33">
        <f>IF(Pay_Num&lt;&gt;"",Beg_Bal*Interest_Rate/Num_Pmt_Per_Year,"")</f>
        <v>1278.0945953656517</v>
      </c>
      <c r="I61" s="33">
        <f>IF(AND(Pay_Num&lt;&gt;"",Sched_Pay+Extra_Pay&lt;Beg_Bal),Beg_Bal-Princ,IF(Pay_Num&lt;&gt;"",0,""))</f>
        <v>102753.71870000305</v>
      </c>
      <c r="J61" s="33">
        <f>SUM($H$18:$H61)</f>
        <v>261442.47770482473</v>
      </c>
    </row>
    <row r="62" spans="1:10" x14ac:dyDescent="0.3">
      <c r="A62" s="36">
        <f>IF(Values_Entered,A61+1,"")</f>
        <v>45</v>
      </c>
      <c r="B62" s="35">
        <f>IF(Pay_Num&lt;&gt;"",DATE(YEAR(Loan_Start),MONTH(Loan_Start)+(Pay_Num)*12/Num_Pmt_Per_Year,DAY(Loan_Start)),"")</f>
        <v>46753</v>
      </c>
      <c r="C62" s="33">
        <f>IF(Pay_Num&lt;&gt;"",I61,"")</f>
        <v>102753.71870000305</v>
      </c>
      <c r="D62" s="33">
        <f>IF(Pay_Num&lt;&gt;"",Scheduled_Monthly_Payment,"")</f>
        <v>26333.835431927764</v>
      </c>
      <c r="E62" s="34">
        <f>IF(AND(Pay_Num&lt;&gt;"",Sched_Pay+Scheduled_Extra_Payments&lt;Beg_Bal),Scheduled_Extra_Payments,IF(AND(Pay_Num&lt;&gt;"",Beg_Bal-Sched_Pay&gt;0),Beg_Bal-Sched_Pay,IF(Pay_Num&lt;&gt;"",0,"")))</f>
        <v>0</v>
      </c>
      <c r="F62" s="33">
        <f>IF(AND(Pay_Num&lt;&gt;"",Sched_Pay+Extra_Pay&lt;Beg_Bal),Sched_Pay+Extra_Pay,IF(Pay_Num&lt;&gt;"",Beg_Bal,""))</f>
        <v>26333.835431927764</v>
      </c>
      <c r="G62" s="33">
        <f>IF(Pay_Num&lt;&gt;"",Total_Pay-Int,"")</f>
        <v>25306.298244927733</v>
      </c>
      <c r="H62" s="33">
        <f>IF(Pay_Num&lt;&gt;"",Beg_Bal*Interest_Rate/Num_Pmt_Per_Year,"")</f>
        <v>1027.5371870000306</v>
      </c>
      <c r="I62" s="33">
        <f>IF(AND(Pay_Num&lt;&gt;"",Sched_Pay+Extra_Pay&lt;Beg_Bal),Beg_Bal-Princ,IF(Pay_Num&lt;&gt;"",0,""))</f>
        <v>77447.42045507532</v>
      </c>
      <c r="J62" s="33">
        <f>SUM($H$18:$H62)</f>
        <v>262470.01489182474</v>
      </c>
    </row>
    <row r="63" spans="1:10" x14ac:dyDescent="0.3">
      <c r="A63" s="36">
        <f>IF(Values_Entered,A62+1,"")</f>
        <v>46</v>
      </c>
      <c r="B63" s="35">
        <f>IF(Pay_Num&lt;&gt;"",DATE(YEAR(Loan_Start),MONTH(Loan_Start)+(Pay_Num)*12/Num_Pmt_Per_Year,DAY(Loan_Start)),"")</f>
        <v>46784</v>
      </c>
      <c r="C63" s="33">
        <f>IF(Pay_Num&lt;&gt;"",I62,"")</f>
        <v>77447.42045507532</v>
      </c>
      <c r="D63" s="33">
        <f>IF(Pay_Num&lt;&gt;"",Scheduled_Monthly_Payment,"")</f>
        <v>26333.835431927764</v>
      </c>
      <c r="E63" s="34">
        <f>IF(AND(Pay_Num&lt;&gt;"",Sched_Pay+Scheduled_Extra_Payments&lt;Beg_Bal),Scheduled_Extra_Payments,IF(AND(Pay_Num&lt;&gt;"",Beg_Bal-Sched_Pay&gt;0),Beg_Bal-Sched_Pay,IF(Pay_Num&lt;&gt;"",0,"")))</f>
        <v>0</v>
      </c>
      <c r="F63" s="33">
        <f>IF(AND(Pay_Num&lt;&gt;"",Sched_Pay+Extra_Pay&lt;Beg_Bal),Sched_Pay+Extra_Pay,IF(Pay_Num&lt;&gt;"",Beg_Bal,""))</f>
        <v>26333.835431927764</v>
      </c>
      <c r="G63" s="33">
        <f>IF(Pay_Num&lt;&gt;"",Total_Pay-Int,"")</f>
        <v>25559.361227377012</v>
      </c>
      <c r="H63" s="33">
        <f>IF(Pay_Num&lt;&gt;"",Beg_Bal*Interest_Rate/Num_Pmt_Per_Year,"")</f>
        <v>774.47420455075314</v>
      </c>
      <c r="I63" s="33">
        <f>IF(AND(Pay_Num&lt;&gt;"",Sched_Pay+Extra_Pay&lt;Beg_Bal),Beg_Bal-Princ,IF(Pay_Num&lt;&gt;"",0,""))</f>
        <v>51888.059227698308</v>
      </c>
      <c r="J63" s="33">
        <f>SUM($H$18:$H63)</f>
        <v>263244.48909637547</v>
      </c>
    </row>
    <row r="64" spans="1:10" x14ac:dyDescent="0.3">
      <c r="A64" s="36">
        <f>IF(Values_Entered,A63+1,"")</f>
        <v>47</v>
      </c>
      <c r="B64" s="35">
        <f>IF(Pay_Num&lt;&gt;"",DATE(YEAR(Loan_Start),MONTH(Loan_Start)+(Pay_Num)*12/Num_Pmt_Per_Year,DAY(Loan_Start)),"")</f>
        <v>46813</v>
      </c>
      <c r="C64" s="33">
        <f>IF(Pay_Num&lt;&gt;"",I63,"")</f>
        <v>51888.059227698308</v>
      </c>
      <c r="D64" s="33">
        <f>IF(Pay_Num&lt;&gt;"",Scheduled_Monthly_Payment,"")</f>
        <v>26333.835431927764</v>
      </c>
      <c r="E64" s="34">
        <f>IF(AND(Pay_Num&lt;&gt;"",Sched_Pay+Scheduled_Extra_Payments&lt;Beg_Bal),Scheduled_Extra_Payments,IF(AND(Pay_Num&lt;&gt;"",Beg_Bal-Sched_Pay&gt;0),Beg_Bal-Sched_Pay,IF(Pay_Num&lt;&gt;"",0,"")))</f>
        <v>0</v>
      </c>
      <c r="F64" s="33">
        <f>IF(AND(Pay_Num&lt;&gt;"",Sched_Pay+Extra_Pay&lt;Beg_Bal),Sched_Pay+Extra_Pay,IF(Pay_Num&lt;&gt;"",Beg_Bal,""))</f>
        <v>26333.835431927764</v>
      </c>
      <c r="G64" s="33">
        <f>IF(Pay_Num&lt;&gt;"",Total_Pay-Int,"")</f>
        <v>25814.954839650782</v>
      </c>
      <c r="H64" s="33">
        <f>IF(Pay_Num&lt;&gt;"",Beg_Bal*Interest_Rate/Num_Pmt_Per_Year,"")</f>
        <v>518.88059227698307</v>
      </c>
      <c r="I64" s="33">
        <f>IF(AND(Pay_Num&lt;&gt;"",Sched_Pay+Extra_Pay&lt;Beg_Bal),Beg_Bal-Princ,IF(Pay_Num&lt;&gt;"",0,""))</f>
        <v>26073.104388047526</v>
      </c>
      <c r="J64" s="33">
        <f>SUM($H$18:$H64)</f>
        <v>263763.36968865246</v>
      </c>
    </row>
    <row r="65" spans="1:10" x14ac:dyDescent="0.3">
      <c r="A65" s="36">
        <f>IF(Values_Entered,A64+1,"")</f>
        <v>48</v>
      </c>
      <c r="B65" s="35">
        <f>IF(Pay_Num&lt;&gt;"",DATE(YEAR(Loan_Start),MONTH(Loan_Start)+(Pay_Num)*12/Num_Pmt_Per_Year,DAY(Loan_Start)),"")</f>
        <v>46844</v>
      </c>
      <c r="C65" s="33">
        <f>IF(Pay_Num&lt;&gt;"",I64,"")</f>
        <v>26073.104388047526</v>
      </c>
      <c r="D65" s="33">
        <f>IF(Pay_Num&lt;&gt;"",Scheduled_Monthly_Payment,"")</f>
        <v>26333.835431927764</v>
      </c>
      <c r="E65" s="34">
        <f>IF(AND(Pay_Num&lt;&gt;"",Sched_Pay+Scheduled_Extra_Payments&lt;Beg_Bal),Scheduled_Extra_Payments,IF(AND(Pay_Num&lt;&gt;"",Beg_Bal-Sched_Pay&gt;0),Beg_Bal-Sched_Pay,IF(Pay_Num&lt;&gt;"",0,"")))</f>
        <v>0</v>
      </c>
      <c r="F65" s="33">
        <f>IF(AND(Pay_Num&lt;&gt;"",Sched_Pay+Extra_Pay&lt;Beg_Bal),Sched_Pay+Extra_Pay,IF(Pay_Num&lt;&gt;"",Beg_Bal,""))</f>
        <v>26073.104388047526</v>
      </c>
      <c r="G65" s="33">
        <f>IF(Pay_Num&lt;&gt;"",Total_Pay-Int,"")</f>
        <v>25812.373344167052</v>
      </c>
      <c r="H65" s="33">
        <f>IF(Pay_Num&lt;&gt;"",Beg_Bal*Interest_Rate/Num_Pmt_Per_Year,"")</f>
        <v>260.73104388047528</v>
      </c>
      <c r="I65" s="33">
        <f>IF(AND(Pay_Num&lt;&gt;"",Sched_Pay+Extra_Pay&lt;Beg_Bal),Beg_Bal-Princ,IF(Pay_Num&lt;&gt;"",0,""))</f>
        <v>0</v>
      </c>
      <c r="J65" s="33">
        <f>SUM($H$18:$H65)</f>
        <v>264024.10073253291</v>
      </c>
    </row>
    <row r="66" spans="1:10" x14ac:dyDescent="0.3">
      <c r="A66" s="36">
        <f>IF(Values_Entered,A65+1,"")</f>
        <v>49</v>
      </c>
      <c r="B66" s="35">
        <f>IF(Pay_Num&lt;&gt;"",DATE(YEAR(Loan_Start),MONTH(Loan_Start)+(Pay_Num)*12/Num_Pmt_Per_Year,DAY(Loan_Start)),"")</f>
        <v>46874</v>
      </c>
      <c r="C66" s="33">
        <f>IF(Pay_Num&lt;&gt;"",I65,"")</f>
        <v>0</v>
      </c>
      <c r="D66" s="33">
        <f>IF(Pay_Num&lt;&gt;"",Scheduled_Monthly_Payment,"")</f>
        <v>26333.835431927764</v>
      </c>
      <c r="E66" s="34">
        <f>IF(AND(Pay_Num&lt;&gt;"",Sched_Pay+Scheduled_Extra_Payments&lt;Beg_Bal),Scheduled_Extra_Payments,IF(AND(Pay_Num&lt;&gt;"",Beg_Bal-Sched_Pay&gt;0),Beg_Bal-Sched_Pay,IF(Pay_Num&lt;&gt;"",0,"")))</f>
        <v>0</v>
      </c>
      <c r="F66" s="33">
        <f>IF(AND(Pay_Num&lt;&gt;"",Sched_Pay+Extra_Pay&lt;Beg_Bal),Sched_Pay+Extra_Pay,IF(Pay_Num&lt;&gt;"",Beg_Bal,""))</f>
        <v>0</v>
      </c>
      <c r="G66" s="33">
        <f>IF(Pay_Num&lt;&gt;"",Total_Pay-Int,"")</f>
        <v>0</v>
      </c>
      <c r="H66" s="33">
        <f>IF(Pay_Num&lt;&gt;"",Beg_Bal*Interest_Rate/Num_Pmt_Per_Year,"")</f>
        <v>0</v>
      </c>
      <c r="I66" s="33">
        <f>IF(AND(Pay_Num&lt;&gt;"",Sched_Pay+Extra_Pay&lt;Beg_Bal),Beg_Bal-Princ,IF(Pay_Num&lt;&gt;"",0,""))</f>
        <v>0</v>
      </c>
      <c r="J66" s="33">
        <f>SUM($H$18:$H66)</f>
        <v>264024.10073253291</v>
      </c>
    </row>
    <row r="67" spans="1:10" x14ac:dyDescent="0.3">
      <c r="A67" s="36">
        <f>IF(Values_Entered,A66+1,"")</f>
        <v>50</v>
      </c>
      <c r="B67" s="35">
        <f>IF(Pay_Num&lt;&gt;"",DATE(YEAR(Loan_Start),MONTH(Loan_Start)+(Pay_Num)*12/Num_Pmt_Per_Year,DAY(Loan_Start)),"")</f>
        <v>46905</v>
      </c>
      <c r="C67" s="33">
        <f>IF(Pay_Num&lt;&gt;"",I66,"")</f>
        <v>0</v>
      </c>
      <c r="D67" s="33">
        <f>IF(Pay_Num&lt;&gt;"",Scheduled_Monthly_Payment,"")</f>
        <v>26333.835431927764</v>
      </c>
      <c r="E67" s="34">
        <f>IF(AND(Pay_Num&lt;&gt;"",Sched_Pay+Scheduled_Extra_Payments&lt;Beg_Bal),Scheduled_Extra_Payments,IF(AND(Pay_Num&lt;&gt;"",Beg_Bal-Sched_Pay&gt;0),Beg_Bal-Sched_Pay,IF(Pay_Num&lt;&gt;"",0,"")))</f>
        <v>0</v>
      </c>
      <c r="F67" s="33">
        <f>IF(AND(Pay_Num&lt;&gt;"",Sched_Pay+Extra_Pay&lt;Beg_Bal),Sched_Pay+Extra_Pay,IF(Pay_Num&lt;&gt;"",Beg_Bal,""))</f>
        <v>0</v>
      </c>
      <c r="G67" s="33">
        <f>IF(Pay_Num&lt;&gt;"",Total_Pay-Int,"")</f>
        <v>0</v>
      </c>
      <c r="H67" s="33">
        <f>IF(Pay_Num&lt;&gt;"",Beg_Bal*Interest_Rate/Num_Pmt_Per_Year,"")</f>
        <v>0</v>
      </c>
      <c r="I67" s="33">
        <f>IF(AND(Pay_Num&lt;&gt;"",Sched_Pay+Extra_Pay&lt;Beg_Bal),Beg_Bal-Princ,IF(Pay_Num&lt;&gt;"",0,""))</f>
        <v>0</v>
      </c>
      <c r="J67" s="33">
        <f>SUM($H$18:$H67)</f>
        <v>264024.10073253291</v>
      </c>
    </row>
    <row r="68" spans="1:10" x14ac:dyDescent="0.3">
      <c r="A68" s="36">
        <f>IF(Values_Entered,A67+1,"")</f>
        <v>51</v>
      </c>
      <c r="B68" s="35">
        <f>IF(Pay_Num&lt;&gt;"",DATE(YEAR(Loan_Start),MONTH(Loan_Start)+(Pay_Num)*12/Num_Pmt_Per_Year,DAY(Loan_Start)),"")</f>
        <v>46935</v>
      </c>
      <c r="C68" s="33">
        <f>IF(Pay_Num&lt;&gt;"",I67,"")</f>
        <v>0</v>
      </c>
      <c r="D68" s="33">
        <f>IF(Pay_Num&lt;&gt;"",Scheduled_Monthly_Payment,"")</f>
        <v>26333.835431927764</v>
      </c>
      <c r="E68" s="34">
        <f>IF(AND(Pay_Num&lt;&gt;"",Sched_Pay+Scheduled_Extra_Payments&lt;Beg_Bal),Scheduled_Extra_Payments,IF(AND(Pay_Num&lt;&gt;"",Beg_Bal-Sched_Pay&gt;0),Beg_Bal-Sched_Pay,IF(Pay_Num&lt;&gt;"",0,"")))</f>
        <v>0</v>
      </c>
      <c r="F68" s="33">
        <f>IF(AND(Pay_Num&lt;&gt;"",Sched_Pay+Extra_Pay&lt;Beg_Bal),Sched_Pay+Extra_Pay,IF(Pay_Num&lt;&gt;"",Beg_Bal,""))</f>
        <v>0</v>
      </c>
      <c r="G68" s="33">
        <f>IF(Pay_Num&lt;&gt;"",Total_Pay-Int,"")</f>
        <v>0</v>
      </c>
      <c r="H68" s="33">
        <f>IF(Pay_Num&lt;&gt;"",Beg_Bal*Interest_Rate/Num_Pmt_Per_Year,"")</f>
        <v>0</v>
      </c>
      <c r="I68" s="33">
        <f>IF(AND(Pay_Num&lt;&gt;"",Sched_Pay+Extra_Pay&lt;Beg_Bal),Beg_Bal-Princ,IF(Pay_Num&lt;&gt;"",0,""))</f>
        <v>0</v>
      </c>
      <c r="J68" s="33">
        <f>SUM($H$18:$H68)</f>
        <v>264024.10073253291</v>
      </c>
    </row>
    <row r="69" spans="1:10" x14ac:dyDescent="0.3">
      <c r="A69" s="36">
        <f>IF(Values_Entered,A68+1,"")</f>
        <v>52</v>
      </c>
      <c r="B69" s="35">
        <f>IF(Pay_Num&lt;&gt;"",DATE(YEAR(Loan_Start),MONTH(Loan_Start)+(Pay_Num)*12/Num_Pmt_Per_Year,DAY(Loan_Start)),"")</f>
        <v>46966</v>
      </c>
      <c r="C69" s="33">
        <f>IF(Pay_Num&lt;&gt;"",I68,"")</f>
        <v>0</v>
      </c>
      <c r="D69" s="33">
        <f>IF(Pay_Num&lt;&gt;"",Scheduled_Monthly_Payment,"")</f>
        <v>26333.835431927764</v>
      </c>
      <c r="E69" s="34">
        <f>IF(AND(Pay_Num&lt;&gt;"",Sched_Pay+Scheduled_Extra_Payments&lt;Beg_Bal),Scheduled_Extra_Payments,IF(AND(Pay_Num&lt;&gt;"",Beg_Bal-Sched_Pay&gt;0),Beg_Bal-Sched_Pay,IF(Pay_Num&lt;&gt;"",0,"")))</f>
        <v>0</v>
      </c>
      <c r="F69" s="33">
        <f>IF(AND(Pay_Num&lt;&gt;"",Sched_Pay+Extra_Pay&lt;Beg_Bal),Sched_Pay+Extra_Pay,IF(Pay_Num&lt;&gt;"",Beg_Bal,""))</f>
        <v>0</v>
      </c>
      <c r="G69" s="33">
        <f>IF(Pay_Num&lt;&gt;"",Total_Pay-Int,"")</f>
        <v>0</v>
      </c>
      <c r="H69" s="33">
        <f>IF(Pay_Num&lt;&gt;"",Beg_Bal*Interest_Rate/Num_Pmt_Per_Year,"")</f>
        <v>0</v>
      </c>
      <c r="I69" s="33">
        <f>IF(AND(Pay_Num&lt;&gt;"",Sched_Pay+Extra_Pay&lt;Beg_Bal),Beg_Bal-Princ,IF(Pay_Num&lt;&gt;"",0,""))</f>
        <v>0</v>
      </c>
      <c r="J69" s="33">
        <f>SUM($H$18:$H69)</f>
        <v>264024.10073253291</v>
      </c>
    </row>
    <row r="70" spans="1:10" x14ac:dyDescent="0.3">
      <c r="A70" s="36">
        <f>IF(Values_Entered,A69+1,"")</f>
        <v>53</v>
      </c>
      <c r="B70" s="35">
        <f>IF(Pay_Num&lt;&gt;"",DATE(YEAR(Loan_Start),MONTH(Loan_Start)+(Pay_Num)*12/Num_Pmt_Per_Year,DAY(Loan_Start)),"")</f>
        <v>46997</v>
      </c>
      <c r="C70" s="33">
        <f>IF(Pay_Num&lt;&gt;"",I69,"")</f>
        <v>0</v>
      </c>
      <c r="D70" s="33">
        <f>IF(Pay_Num&lt;&gt;"",Scheduled_Monthly_Payment,"")</f>
        <v>26333.835431927764</v>
      </c>
      <c r="E70" s="34">
        <f>IF(AND(Pay_Num&lt;&gt;"",Sched_Pay+Scheduled_Extra_Payments&lt;Beg_Bal),Scheduled_Extra_Payments,IF(AND(Pay_Num&lt;&gt;"",Beg_Bal-Sched_Pay&gt;0),Beg_Bal-Sched_Pay,IF(Pay_Num&lt;&gt;"",0,"")))</f>
        <v>0</v>
      </c>
      <c r="F70" s="33">
        <f>IF(AND(Pay_Num&lt;&gt;"",Sched_Pay+Extra_Pay&lt;Beg_Bal),Sched_Pay+Extra_Pay,IF(Pay_Num&lt;&gt;"",Beg_Bal,""))</f>
        <v>0</v>
      </c>
      <c r="G70" s="33">
        <f>IF(Pay_Num&lt;&gt;"",Total_Pay-Int,"")</f>
        <v>0</v>
      </c>
      <c r="H70" s="33">
        <f>IF(Pay_Num&lt;&gt;"",Beg_Bal*Interest_Rate/Num_Pmt_Per_Year,"")</f>
        <v>0</v>
      </c>
      <c r="I70" s="33">
        <f>IF(AND(Pay_Num&lt;&gt;"",Sched_Pay+Extra_Pay&lt;Beg_Bal),Beg_Bal-Princ,IF(Pay_Num&lt;&gt;"",0,""))</f>
        <v>0</v>
      </c>
      <c r="J70" s="33">
        <f>SUM($H$18:$H70)</f>
        <v>264024.10073253291</v>
      </c>
    </row>
    <row r="71" spans="1:10" x14ac:dyDescent="0.3">
      <c r="A71" s="36">
        <f>IF(Values_Entered,A70+1,"")</f>
        <v>54</v>
      </c>
      <c r="B71" s="35">
        <f>IF(Pay_Num&lt;&gt;"",DATE(YEAR(Loan_Start),MONTH(Loan_Start)+(Pay_Num)*12/Num_Pmt_Per_Year,DAY(Loan_Start)),"")</f>
        <v>47027</v>
      </c>
      <c r="C71" s="33">
        <f>IF(Pay_Num&lt;&gt;"",I70,"")</f>
        <v>0</v>
      </c>
      <c r="D71" s="33">
        <f>IF(Pay_Num&lt;&gt;"",Scheduled_Monthly_Payment,"")</f>
        <v>26333.835431927764</v>
      </c>
      <c r="E71" s="34">
        <f>IF(AND(Pay_Num&lt;&gt;"",Sched_Pay+Scheduled_Extra_Payments&lt;Beg_Bal),Scheduled_Extra_Payments,IF(AND(Pay_Num&lt;&gt;"",Beg_Bal-Sched_Pay&gt;0),Beg_Bal-Sched_Pay,IF(Pay_Num&lt;&gt;"",0,"")))</f>
        <v>0</v>
      </c>
      <c r="F71" s="33">
        <f>IF(AND(Pay_Num&lt;&gt;"",Sched_Pay+Extra_Pay&lt;Beg_Bal),Sched_Pay+Extra_Pay,IF(Pay_Num&lt;&gt;"",Beg_Bal,""))</f>
        <v>0</v>
      </c>
      <c r="G71" s="33">
        <f>IF(Pay_Num&lt;&gt;"",Total_Pay-Int,"")</f>
        <v>0</v>
      </c>
      <c r="H71" s="33">
        <f>IF(Pay_Num&lt;&gt;"",Beg_Bal*Interest_Rate/Num_Pmt_Per_Year,"")</f>
        <v>0</v>
      </c>
      <c r="I71" s="33">
        <f>IF(AND(Pay_Num&lt;&gt;"",Sched_Pay+Extra_Pay&lt;Beg_Bal),Beg_Bal-Princ,IF(Pay_Num&lt;&gt;"",0,""))</f>
        <v>0</v>
      </c>
      <c r="J71" s="33">
        <f>SUM($H$18:$H71)</f>
        <v>264024.10073253291</v>
      </c>
    </row>
    <row r="72" spans="1:10" x14ac:dyDescent="0.3">
      <c r="A72" s="36">
        <f>IF(Values_Entered,A71+1,"")</f>
        <v>55</v>
      </c>
      <c r="B72" s="35">
        <f>IF(Pay_Num&lt;&gt;"",DATE(YEAR(Loan_Start),MONTH(Loan_Start)+(Pay_Num)*12/Num_Pmt_Per_Year,DAY(Loan_Start)),"")</f>
        <v>47058</v>
      </c>
      <c r="C72" s="33">
        <f>IF(Pay_Num&lt;&gt;"",I71,"")</f>
        <v>0</v>
      </c>
      <c r="D72" s="33">
        <f>IF(Pay_Num&lt;&gt;"",Scheduled_Monthly_Payment,"")</f>
        <v>26333.835431927764</v>
      </c>
      <c r="E72" s="34">
        <f>IF(AND(Pay_Num&lt;&gt;"",Sched_Pay+Scheduled_Extra_Payments&lt;Beg_Bal),Scheduled_Extra_Payments,IF(AND(Pay_Num&lt;&gt;"",Beg_Bal-Sched_Pay&gt;0),Beg_Bal-Sched_Pay,IF(Pay_Num&lt;&gt;"",0,"")))</f>
        <v>0</v>
      </c>
      <c r="F72" s="33">
        <f>IF(AND(Pay_Num&lt;&gt;"",Sched_Pay+Extra_Pay&lt;Beg_Bal),Sched_Pay+Extra_Pay,IF(Pay_Num&lt;&gt;"",Beg_Bal,""))</f>
        <v>0</v>
      </c>
      <c r="G72" s="33">
        <f>IF(Pay_Num&lt;&gt;"",Total_Pay-Int,"")</f>
        <v>0</v>
      </c>
      <c r="H72" s="33">
        <f>IF(Pay_Num&lt;&gt;"",Beg_Bal*Interest_Rate/Num_Pmt_Per_Year,"")</f>
        <v>0</v>
      </c>
      <c r="I72" s="33">
        <f>IF(AND(Pay_Num&lt;&gt;"",Sched_Pay+Extra_Pay&lt;Beg_Bal),Beg_Bal-Princ,IF(Pay_Num&lt;&gt;"",0,""))</f>
        <v>0</v>
      </c>
      <c r="J72" s="33">
        <f>SUM($H$18:$H72)</f>
        <v>264024.10073253291</v>
      </c>
    </row>
    <row r="73" spans="1:10" x14ac:dyDescent="0.3">
      <c r="A73" s="36">
        <f>IF(Values_Entered,A72+1,"")</f>
        <v>56</v>
      </c>
      <c r="B73" s="35">
        <f>IF(Pay_Num&lt;&gt;"",DATE(YEAR(Loan_Start),MONTH(Loan_Start)+(Pay_Num)*12/Num_Pmt_Per_Year,DAY(Loan_Start)),"")</f>
        <v>47088</v>
      </c>
      <c r="C73" s="33">
        <f>IF(Pay_Num&lt;&gt;"",I72,"")</f>
        <v>0</v>
      </c>
      <c r="D73" s="33">
        <f>IF(Pay_Num&lt;&gt;"",Scheduled_Monthly_Payment,"")</f>
        <v>26333.835431927764</v>
      </c>
      <c r="E73" s="34">
        <f>IF(AND(Pay_Num&lt;&gt;"",Sched_Pay+Scheduled_Extra_Payments&lt;Beg_Bal),Scheduled_Extra_Payments,IF(AND(Pay_Num&lt;&gt;"",Beg_Bal-Sched_Pay&gt;0),Beg_Bal-Sched_Pay,IF(Pay_Num&lt;&gt;"",0,"")))</f>
        <v>0</v>
      </c>
      <c r="F73" s="33">
        <f>IF(AND(Pay_Num&lt;&gt;"",Sched_Pay+Extra_Pay&lt;Beg_Bal),Sched_Pay+Extra_Pay,IF(Pay_Num&lt;&gt;"",Beg_Bal,""))</f>
        <v>0</v>
      </c>
      <c r="G73" s="33">
        <f>IF(Pay_Num&lt;&gt;"",Total_Pay-Int,"")</f>
        <v>0</v>
      </c>
      <c r="H73" s="33">
        <f>IF(Pay_Num&lt;&gt;"",Beg_Bal*Interest_Rate/Num_Pmt_Per_Year,"")</f>
        <v>0</v>
      </c>
      <c r="I73" s="33">
        <f>IF(AND(Pay_Num&lt;&gt;"",Sched_Pay+Extra_Pay&lt;Beg_Bal),Beg_Bal-Princ,IF(Pay_Num&lt;&gt;"",0,""))</f>
        <v>0</v>
      </c>
      <c r="J73" s="33">
        <f>SUM($H$18:$H73)</f>
        <v>264024.10073253291</v>
      </c>
    </row>
    <row r="74" spans="1:10" x14ac:dyDescent="0.3">
      <c r="A74" s="36">
        <f>IF(Values_Entered,A73+1,"")</f>
        <v>57</v>
      </c>
      <c r="B74" s="35">
        <f>IF(Pay_Num&lt;&gt;"",DATE(YEAR(Loan_Start),MONTH(Loan_Start)+(Pay_Num)*12/Num_Pmt_Per_Year,DAY(Loan_Start)),"")</f>
        <v>47119</v>
      </c>
      <c r="C74" s="33">
        <f>IF(Pay_Num&lt;&gt;"",I73,"")</f>
        <v>0</v>
      </c>
      <c r="D74" s="33">
        <f>IF(Pay_Num&lt;&gt;"",Scheduled_Monthly_Payment,"")</f>
        <v>26333.835431927764</v>
      </c>
      <c r="E74" s="34">
        <f>IF(AND(Pay_Num&lt;&gt;"",Sched_Pay+Scheduled_Extra_Payments&lt;Beg_Bal),Scheduled_Extra_Payments,IF(AND(Pay_Num&lt;&gt;"",Beg_Bal-Sched_Pay&gt;0),Beg_Bal-Sched_Pay,IF(Pay_Num&lt;&gt;"",0,"")))</f>
        <v>0</v>
      </c>
      <c r="F74" s="33">
        <f>IF(AND(Pay_Num&lt;&gt;"",Sched_Pay+Extra_Pay&lt;Beg_Bal),Sched_Pay+Extra_Pay,IF(Pay_Num&lt;&gt;"",Beg_Bal,""))</f>
        <v>0</v>
      </c>
      <c r="G74" s="33">
        <f>IF(Pay_Num&lt;&gt;"",Total_Pay-Int,"")</f>
        <v>0</v>
      </c>
      <c r="H74" s="33">
        <f>IF(Pay_Num&lt;&gt;"",Beg_Bal*Interest_Rate/Num_Pmt_Per_Year,"")</f>
        <v>0</v>
      </c>
      <c r="I74" s="33">
        <f>IF(AND(Pay_Num&lt;&gt;"",Sched_Pay+Extra_Pay&lt;Beg_Bal),Beg_Bal-Princ,IF(Pay_Num&lt;&gt;"",0,""))</f>
        <v>0</v>
      </c>
      <c r="J74" s="33">
        <f>SUM($H$18:$H74)</f>
        <v>264024.10073253291</v>
      </c>
    </row>
    <row r="75" spans="1:10" x14ac:dyDescent="0.3">
      <c r="A75" s="36">
        <f>IF(Values_Entered,A74+1,"")</f>
        <v>58</v>
      </c>
      <c r="B75" s="35">
        <f>IF(Pay_Num&lt;&gt;"",DATE(YEAR(Loan_Start),MONTH(Loan_Start)+(Pay_Num)*12/Num_Pmt_Per_Year,DAY(Loan_Start)),"")</f>
        <v>47150</v>
      </c>
      <c r="C75" s="33">
        <f>IF(Pay_Num&lt;&gt;"",I74,"")</f>
        <v>0</v>
      </c>
      <c r="D75" s="33">
        <f>IF(Pay_Num&lt;&gt;"",Scheduled_Monthly_Payment,"")</f>
        <v>26333.835431927764</v>
      </c>
      <c r="E75" s="34">
        <f>IF(AND(Pay_Num&lt;&gt;"",Sched_Pay+Scheduled_Extra_Payments&lt;Beg_Bal),Scheduled_Extra_Payments,IF(AND(Pay_Num&lt;&gt;"",Beg_Bal-Sched_Pay&gt;0),Beg_Bal-Sched_Pay,IF(Pay_Num&lt;&gt;"",0,"")))</f>
        <v>0</v>
      </c>
      <c r="F75" s="33">
        <f>IF(AND(Pay_Num&lt;&gt;"",Sched_Pay+Extra_Pay&lt;Beg_Bal),Sched_Pay+Extra_Pay,IF(Pay_Num&lt;&gt;"",Beg_Bal,""))</f>
        <v>0</v>
      </c>
      <c r="G75" s="33">
        <f>IF(Pay_Num&lt;&gt;"",Total_Pay-Int,"")</f>
        <v>0</v>
      </c>
      <c r="H75" s="33">
        <f>IF(Pay_Num&lt;&gt;"",Beg_Bal*Interest_Rate/Num_Pmt_Per_Year,"")</f>
        <v>0</v>
      </c>
      <c r="I75" s="33">
        <f>IF(AND(Pay_Num&lt;&gt;"",Sched_Pay+Extra_Pay&lt;Beg_Bal),Beg_Bal-Princ,IF(Pay_Num&lt;&gt;"",0,""))</f>
        <v>0</v>
      </c>
      <c r="J75" s="33">
        <f>SUM($H$18:$H75)</f>
        <v>264024.10073253291</v>
      </c>
    </row>
    <row r="76" spans="1:10" x14ac:dyDescent="0.3">
      <c r="A76" s="36">
        <f>IF(Values_Entered,A75+1,"")</f>
        <v>59</v>
      </c>
      <c r="B76" s="35">
        <f>IF(Pay_Num&lt;&gt;"",DATE(YEAR(Loan_Start),MONTH(Loan_Start)+(Pay_Num)*12/Num_Pmt_Per_Year,DAY(Loan_Start)),"")</f>
        <v>47178</v>
      </c>
      <c r="C76" s="33">
        <f>IF(Pay_Num&lt;&gt;"",I75,"")</f>
        <v>0</v>
      </c>
      <c r="D76" s="33">
        <f>IF(Pay_Num&lt;&gt;"",Scheduled_Monthly_Payment,"")</f>
        <v>26333.835431927764</v>
      </c>
      <c r="E76" s="34">
        <f>IF(AND(Pay_Num&lt;&gt;"",Sched_Pay+Scheduled_Extra_Payments&lt;Beg_Bal),Scheduled_Extra_Payments,IF(AND(Pay_Num&lt;&gt;"",Beg_Bal-Sched_Pay&gt;0),Beg_Bal-Sched_Pay,IF(Pay_Num&lt;&gt;"",0,"")))</f>
        <v>0</v>
      </c>
      <c r="F76" s="33">
        <f>IF(AND(Pay_Num&lt;&gt;"",Sched_Pay+Extra_Pay&lt;Beg_Bal),Sched_Pay+Extra_Pay,IF(Pay_Num&lt;&gt;"",Beg_Bal,""))</f>
        <v>0</v>
      </c>
      <c r="G76" s="33">
        <f>IF(Pay_Num&lt;&gt;"",Total_Pay-Int,"")</f>
        <v>0</v>
      </c>
      <c r="H76" s="33">
        <f>IF(Pay_Num&lt;&gt;"",Beg_Bal*Interest_Rate/Num_Pmt_Per_Year,"")</f>
        <v>0</v>
      </c>
      <c r="I76" s="33">
        <f>IF(AND(Pay_Num&lt;&gt;"",Sched_Pay+Extra_Pay&lt;Beg_Bal),Beg_Bal-Princ,IF(Pay_Num&lt;&gt;"",0,""))</f>
        <v>0</v>
      </c>
      <c r="J76" s="33">
        <f>SUM($H$18:$H76)</f>
        <v>264024.10073253291</v>
      </c>
    </row>
    <row r="77" spans="1:10" x14ac:dyDescent="0.3">
      <c r="A77" s="36">
        <f>IF(Values_Entered,A76+1,"")</f>
        <v>60</v>
      </c>
      <c r="B77" s="35">
        <f>IF(Pay_Num&lt;&gt;"",DATE(YEAR(Loan_Start),MONTH(Loan_Start)+(Pay_Num)*12/Num_Pmt_Per_Year,DAY(Loan_Start)),"")</f>
        <v>47209</v>
      </c>
      <c r="C77" s="33">
        <f>IF(Pay_Num&lt;&gt;"",I76,"")</f>
        <v>0</v>
      </c>
      <c r="D77" s="33">
        <f>IF(Pay_Num&lt;&gt;"",Scheduled_Monthly_Payment,"")</f>
        <v>26333.835431927764</v>
      </c>
      <c r="E77" s="34">
        <f>IF(AND(Pay_Num&lt;&gt;"",Sched_Pay+Scheduled_Extra_Payments&lt;Beg_Bal),Scheduled_Extra_Payments,IF(AND(Pay_Num&lt;&gt;"",Beg_Bal-Sched_Pay&gt;0),Beg_Bal-Sched_Pay,IF(Pay_Num&lt;&gt;"",0,"")))</f>
        <v>0</v>
      </c>
      <c r="F77" s="33">
        <f>IF(AND(Pay_Num&lt;&gt;"",Sched_Pay+Extra_Pay&lt;Beg_Bal),Sched_Pay+Extra_Pay,IF(Pay_Num&lt;&gt;"",Beg_Bal,""))</f>
        <v>0</v>
      </c>
      <c r="G77" s="33">
        <f>IF(Pay_Num&lt;&gt;"",Total_Pay-Int,"")</f>
        <v>0</v>
      </c>
      <c r="H77" s="33">
        <f>IF(Pay_Num&lt;&gt;"",Beg_Bal*Interest_Rate/Num_Pmt_Per_Year,"")</f>
        <v>0</v>
      </c>
      <c r="I77" s="33">
        <f>IF(AND(Pay_Num&lt;&gt;"",Sched_Pay+Extra_Pay&lt;Beg_Bal),Beg_Bal-Princ,IF(Pay_Num&lt;&gt;"",0,""))</f>
        <v>0</v>
      </c>
      <c r="J77" s="33">
        <f>SUM($H$18:$H77)</f>
        <v>264024.10073253291</v>
      </c>
    </row>
    <row r="78" spans="1:10" x14ac:dyDescent="0.3">
      <c r="A78" s="36">
        <f>IF(Values_Entered,A77+1,"")</f>
        <v>61</v>
      </c>
      <c r="B78" s="35">
        <f>IF(Pay_Num&lt;&gt;"",DATE(YEAR(Loan_Start),MONTH(Loan_Start)+(Pay_Num)*12/Num_Pmt_Per_Year,DAY(Loan_Start)),"")</f>
        <v>47239</v>
      </c>
      <c r="C78" s="33">
        <f>IF(Pay_Num&lt;&gt;"",I77,"")</f>
        <v>0</v>
      </c>
      <c r="D78" s="33">
        <f>IF(Pay_Num&lt;&gt;"",Scheduled_Monthly_Payment,"")</f>
        <v>26333.835431927764</v>
      </c>
      <c r="E78" s="34">
        <f>IF(AND(Pay_Num&lt;&gt;"",Sched_Pay+Scheduled_Extra_Payments&lt;Beg_Bal),Scheduled_Extra_Payments,IF(AND(Pay_Num&lt;&gt;"",Beg_Bal-Sched_Pay&gt;0),Beg_Bal-Sched_Pay,IF(Pay_Num&lt;&gt;"",0,"")))</f>
        <v>0</v>
      </c>
      <c r="F78" s="33">
        <f>IF(AND(Pay_Num&lt;&gt;"",Sched_Pay+Extra_Pay&lt;Beg_Bal),Sched_Pay+Extra_Pay,IF(Pay_Num&lt;&gt;"",Beg_Bal,""))</f>
        <v>0</v>
      </c>
      <c r="G78" s="33">
        <f>IF(Pay_Num&lt;&gt;"",Total_Pay-Int,"")</f>
        <v>0</v>
      </c>
      <c r="H78" s="33">
        <f>IF(Pay_Num&lt;&gt;"",Beg_Bal*Interest_Rate/Num_Pmt_Per_Year,"")</f>
        <v>0</v>
      </c>
      <c r="I78" s="33">
        <f>IF(AND(Pay_Num&lt;&gt;"",Sched_Pay+Extra_Pay&lt;Beg_Bal),Beg_Bal-Princ,IF(Pay_Num&lt;&gt;"",0,""))</f>
        <v>0</v>
      </c>
      <c r="J78" s="33">
        <f>SUM($H$18:$H78)</f>
        <v>264024.10073253291</v>
      </c>
    </row>
    <row r="79" spans="1:10" x14ac:dyDescent="0.3">
      <c r="A79" s="36">
        <f>IF(Values_Entered,A78+1,"")</f>
        <v>62</v>
      </c>
      <c r="B79" s="35">
        <f>IF(Pay_Num&lt;&gt;"",DATE(YEAR(Loan_Start),MONTH(Loan_Start)+(Pay_Num)*12/Num_Pmt_Per_Year,DAY(Loan_Start)),"")</f>
        <v>47270</v>
      </c>
      <c r="C79" s="33">
        <f>IF(Pay_Num&lt;&gt;"",I78,"")</f>
        <v>0</v>
      </c>
      <c r="D79" s="33">
        <f>IF(Pay_Num&lt;&gt;"",Scheduled_Monthly_Payment,"")</f>
        <v>26333.835431927764</v>
      </c>
      <c r="E79" s="34">
        <f>IF(AND(Pay_Num&lt;&gt;"",Sched_Pay+Scheduled_Extra_Payments&lt;Beg_Bal),Scheduled_Extra_Payments,IF(AND(Pay_Num&lt;&gt;"",Beg_Bal-Sched_Pay&gt;0),Beg_Bal-Sched_Pay,IF(Pay_Num&lt;&gt;"",0,"")))</f>
        <v>0</v>
      </c>
      <c r="F79" s="33">
        <f>IF(AND(Pay_Num&lt;&gt;"",Sched_Pay+Extra_Pay&lt;Beg_Bal),Sched_Pay+Extra_Pay,IF(Pay_Num&lt;&gt;"",Beg_Bal,""))</f>
        <v>0</v>
      </c>
      <c r="G79" s="33">
        <f>IF(Pay_Num&lt;&gt;"",Total_Pay-Int,"")</f>
        <v>0</v>
      </c>
      <c r="H79" s="33">
        <f>IF(Pay_Num&lt;&gt;"",Beg_Bal*Interest_Rate/Num_Pmt_Per_Year,"")</f>
        <v>0</v>
      </c>
      <c r="I79" s="33">
        <f>IF(AND(Pay_Num&lt;&gt;"",Sched_Pay+Extra_Pay&lt;Beg_Bal),Beg_Bal-Princ,IF(Pay_Num&lt;&gt;"",0,""))</f>
        <v>0</v>
      </c>
      <c r="J79" s="33">
        <f>SUM($H$18:$H79)</f>
        <v>264024.10073253291</v>
      </c>
    </row>
    <row r="80" spans="1:10" x14ac:dyDescent="0.3">
      <c r="A80" s="36">
        <f>IF(Values_Entered,A79+1,"")</f>
        <v>63</v>
      </c>
      <c r="B80" s="35">
        <f>IF(Pay_Num&lt;&gt;"",DATE(YEAR(Loan_Start),MONTH(Loan_Start)+(Pay_Num)*12/Num_Pmt_Per_Year,DAY(Loan_Start)),"")</f>
        <v>47300</v>
      </c>
      <c r="C80" s="33">
        <f>IF(Pay_Num&lt;&gt;"",I79,"")</f>
        <v>0</v>
      </c>
      <c r="D80" s="33">
        <f>IF(Pay_Num&lt;&gt;"",Scheduled_Monthly_Payment,"")</f>
        <v>26333.835431927764</v>
      </c>
      <c r="E80" s="34">
        <f>IF(AND(Pay_Num&lt;&gt;"",Sched_Pay+Scheduled_Extra_Payments&lt;Beg_Bal),Scheduled_Extra_Payments,IF(AND(Pay_Num&lt;&gt;"",Beg_Bal-Sched_Pay&gt;0),Beg_Bal-Sched_Pay,IF(Pay_Num&lt;&gt;"",0,"")))</f>
        <v>0</v>
      </c>
      <c r="F80" s="33">
        <f>IF(AND(Pay_Num&lt;&gt;"",Sched_Pay+Extra_Pay&lt;Beg_Bal),Sched_Pay+Extra_Pay,IF(Pay_Num&lt;&gt;"",Beg_Bal,""))</f>
        <v>0</v>
      </c>
      <c r="G80" s="33">
        <f>IF(Pay_Num&lt;&gt;"",Total_Pay-Int,"")</f>
        <v>0</v>
      </c>
      <c r="H80" s="33">
        <f>IF(Pay_Num&lt;&gt;"",Beg_Bal*Interest_Rate/Num_Pmt_Per_Year,"")</f>
        <v>0</v>
      </c>
      <c r="I80" s="33">
        <f>IF(AND(Pay_Num&lt;&gt;"",Sched_Pay+Extra_Pay&lt;Beg_Bal),Beg_Bal-Princ,IF(Pay_Num&lt;&gt;"",0,""))</f>
        <v>0</v>
      </c>
      <c r="J80" s="33">
        <f>SUM($H$18:$H80)</f>
        <v>264024.10073253291</v>
      </c>
    </row>
    <row r="81" spans="1:10" x14ac:dyDescent="0.3">
      <c r="A81" s="36">
        <f>IF(Values_Entered,A80+1,"")</f>
        <v>64</v>
      </c>
      <c r="B81" s="35">
        <f>IF(Pay_Num&lt;&gt;"",DATE(YEAR(Loan_Start),MONTH(Loan_Start)+(Pay_Num)*12/Num_Pmt_Per_Year,DAY(Loan_Start)),"")</f>
        <v>47331</v>
      </c>
      <c r="C81" s="33">
        <f>IF(Pay_Num&lt;&gt;"",I80,"")</f>
        <v>0</v>
      </c>
      <c r="D81" s="33">
        <f>IF(Pay_Num&lt;&gt;"",Scheduled_Monthly_Payment,"")</f>
        <v>26333.835431927764</v>
      </c>
      <c r="E81" s="34">
        <f>IF(AND(Pay_Num&lt;&gt;"",Sched_Pay+Scheduled_Extra_Payments&lt;Beg_Bal),Scheduled_Extra_Payments,IF(AND(Pay_Num&lt;&gt;"",Beg_Bal-Sched_Pay&gt;0),Beg_Bal-Sched_Pay,IF(Pay_Num&lt;&gt;"",0,"")))</f>
        <v>0</v>
      </c>
      <c r="F81" s="33">
        <f>IF(AND(Pay_Num&lt;&gt;"",Sched_Pay+Extra_Pay&lt;Beg_Bal),Sched_Pay+Extra_Pay,IF(Pay_Num&lt;&gt;"",Beg_Bal,""))</f>
        <v>0</v>
      </c>
      <c r="G81" s="33">
        <f>IF(Pay_Num&lt;&gt;"",Total_Pay-Int,"")</f>
        <v>0</v>
      </c>
      <c r="H81" s="33">
        <f>IF(Pay_Num&lt;&gt;"",Beg_Bal*Interest_Rate/Num_Pmt_Per_Year,"")</f>
        <v>0</v>
      </c>
      <c r="I81" s="33">
        <f>IF(AND(Pay_Num&lt;&gt;"",Sched_Pay+Extra_Pay&lt;Beg_Bal),Beg_Bal-Princ,IF(Pay_Num&lt;&gt;"",0,""))</f>
        <v>0</v>
      </c>
      <c r="J81" s="33">
        <f>SUM($H$18:$H81)</f>
        <v>264024.10073253291</v>
      </c>
    </row>
    <row r="82" spans="1:10" x14ac:dyDescent="0.3">
      <c r="A82" s="36">
        <f>IF(Values_Entered,A81+1,"")</f>
        <v>65</v>
      </c>
      <c r="B82" s="35">
        <f>IF(Pay_Num&lt;&gt;"",DATE(YEAR(Loan_Start),MONTH(Loan_Start)+(Pay_Num)*12/Num_Pmt_Per_Year,DAY(Loan_Start)),"")</f>
        <v>47362</v>
      </c>
      <c r="C82" s="33">
        <f>IF(Pay_Num&lt;&gt;"",I81,"")</f>
        <v>0</v>
      </c>
      <c r="D82" s="33">
        <f>IF(Pay_Num&lt;&gt;"",Scheduled_Monthly_Payment,"")</f>
        <v>26333.835431927764</v>
      </c>
      <c r="E82" s="34">
        <f>IF(AND(Pay_Num&lt;&gt;"",Sched_Pay+Scheduled_Extra_Payments&lt;Beg_Bal),Scheduled_Extra_Payments,IF(AND(Pay_Num&lt;&gt;"",Beg_Bal-Sched_Pay&gt;0),Beg_Bal-Sched_Pay,IF(Pay_Num&lt;&gt;"",0,"")))</f>
        <v>0</v>
      </c>
      <c r="F82" s="33">
        <f>IF(AND(Pay_Num&lt;&gt;"",Sched_Pay+Extra_Pay&lt;Beg_Bal),Sched_Pay+Extra_Pay,IF(Pay_Num&lt;&gt;"",Beg_Bal,""))</f>
        <v>0</v>
      </c>
      <c r="G82" s="33">
        <f>IF(Pay_Num&lt;&gt;"",Total_Pay-Int,"")</f>
        <v>0</v>
      </c>
      <c r="H82" s="33">
        <f>IF(Pay_Num&lt;&gt;"",Beg_Bal*Interest_Rate/Num_Pmt_Per_Year,"")</f>
        <v>0</v>
      </c>
      <c r="I82" s="33">
        <f>IF(AND(Pay_Num&lt;&gt;"",Sched_Pay+Extra_Pay&lt;Beg_Bal),Beg_Bal-Princ,IF(Pay_Num&lt;&gt;"",0,""))</f>
        <v>0</v>
      </c>
      <c r="J82" s="33">
        <f>SUM($H$18:$H82)</f>
        <v>264024.10073253291</v>
      </c>
    </row>
    <row r="83" spans="1:10" x14ac:dyDescent="0.3">
      <c r="A83" s="36">
        <f>IF(Values_Entered,A82+1,"")</f>
        <v>66</v>
      </c>
      <c r="B83" s="35">
        <f>IF(Pay_Num&lt;&gt;"",DATE(YEAR(Loan_Start),MONTH(Loan_Start)+(Pay_Num)*12/Num_Pmt_Per_Year,DAY(Loan_Start)),"")</f>
        <v>47392</v>
      </c>
      <c r="C83" s="33">
        <f>IF(Pay_Num&lt;&gt;"",I82,"")</f>
        <v>0</v>
      </c>
      <c r="D83" s="33">
        <f>IF(Pay_Num&lt;&gt;"",Scheduled_Monthly_Payment,"")</f>
        <v>26333.835431927764</v>
      </c>
      <c r="E83" s="34">
        <f>IF(AND(Pay_Num&lt;&gt;"",Sched_Pay+Scheduled_Extra_Payments&lt;Beg_Bal),Scheduled_Extra_Payments,IF(AND(Pay_Num&lt;&gt;"",Beg_Bal-Sched_Pay&gt;0),Beg_Bal-Sched_Pay,IF(Pay_Num&lt;&gt;"",0,"")))</f>
        <v>0</v>
      </c>
      <c r="F83" s="33">
        <f>IF(AND(Pay_Num&lt;&gt;"",Sched_Pay+Extra_Pay&lt;Beg_Bal),Sched_Pay+Extra_Pay,IF(Pay_Num&lt;&gt;"",Beg_Bal,""))</f>
        <v>0</v>
      </c>
      <c r="G83" s="33">
        <f>IF(Pay_Num&lt;&gt;"",Total_Pay-Int,"")</f>
        <v>0</v>
      </c>
      <c r="H83" s="33">
        <f>IF(Pay_Num&lt;&gt;"",Beg_Bal*Interest_Rate/Num_Pmt_Per_Year,"")</f>
        <v>0</v>
      </c>
      <c r="I83" s="33">
        <f>IF(AND(Pay_Num&lt;&gt;"",Sched_Pay+Extra_Pay&lt;Beg_Bal),Beg_Bal-Princ,IF(Pay_Num&lt;&gt;"",0,""))</f>
        <v>0</v>
      </c>
      <c r="J83" s="33">
        <f>SUM($H$18:$H83)</f>
        <v>264024.10073253291</v>
      </c>
    </row>
    <row r="84" spans="1:10" x14ac:dyDescent="0.3">
      <c r="A84" s="36">
        <f>IF(Values_Entered,A83+1,"")</f>
        <v>67</v>
      </c>
      <c r="B84" s="35">
        <f>IF(Pay_Num&lt;&gt;"",DATE(YEAR(Loan_Start),MONTH(Loan_Start)+(Pay_Num)*12/Num_Pmt_Per_Year,DAY(Loan_Start)),"")</f>
        <v>47423</v>
      </c>
      <c r="C84" s="33">
        <f>IF(Pay_Num&lt;&gt;"",I83,"")</f>
        <v>0</v>
      </c>
      <c r="D84" s="33">
        <f>IF(Pay_Num&lt;&gt;"",Scheduled_Monthly_Payment,"")</f>
        <v>26333.835431927764</v>
      </c>
      <c r="E84" s="34">
        <f>IF(AND(Pay_Num&lt;&gt;"",Sched_Pay+Scheduled_Extra_Payments&lt;Beg_Bal),Scheduled_Extra_Payments,IF(AND(Pay_Num&lt;&gt;"",Beg_Bal-Sched_Pay&gt;0),Beg_Bal-Sched_Pay,IF(Pay_Num&lt;&gt;"",0,"")))</f>
        <v>0</v>
      </c>
      <c r="F84" s="33">
        <f>IF(AND(Pay_Num&lt;&gt;"",Sched_Pay+Extra_Pay&lt;Beg_Bal),Sched_Pay+Extra_Pay,IF(Pay_Num&lt;&gt;"",Beg_Bal,""))</f>
        <v>0</v>
      </c>
      <c r="G84" s="33">
        <f>IF(Pay_Num&lt;&gt;"",Total_Pay-Int,"")</f>
        <v>0</v>
      </c>
      <c r="H84" s="33">
        <f>IF(Pay_Num&lt;&gt;"",Beg_Bal*Interest_Rate/Num_Pmt_Per_Year,"")</f>
        <v>0</v>
      </c>
      <c r="I84" s="33">
        <f>IF(AND(Pay_Num&lt;&gt;"",Sched_Pay+Extra_Pay&lt;Beg_Bal),Beg_Bal-Princ,IF(Pay_Num&lt;&gt;"",0,""))</f>
        <v>0</v>
      </c>
      <c r="J84" s="33">
        <f>SUM($H$18:$H84)</f>
        <v>264024.10073253291</v>
      </c>
    </row>
    <row r="85" spans="1:10" x14ac:dyDescent="0.3">
      <c r="A85" s="36">
        <f>IF(Values_Entered,A84+1,"")</f>
        <v>68</v>
      </c>
      <c r="B85" s="35">
        <f>IF(Pay_Num&lt;&gt;"",DATE(YEAR(Loan_Start),MONTH(Loan_Start)+(Pay_Num)*12/Num_Pmt_Per_Year,DAY(Loan_Start)),"")</f>
        <v>47453</v>
      </c>
      <c r="C85" s="33">
        <f>IF(Pay_Num&lt;&gt;"",I84,"")</f>
        <v>0</v>
      </c>
      <c r="D85" s="33">
        <f>IF(Pay_Num&lt;&gt;"",Scheduled_Monthly_Payment,"")</f>
        <v>26333.835431927764</v>
      </c>
      <c r="E85" s="34">
        <f>IF(AND(Pay_Num&lt;&gt;"",Sched_Pay+Scheduled_Extra_Payments&lt;Beg_Bal),Scheduled_Extra_Payments,IF(AND(Pay_Num&lt;&gt;"",Beg_Bal-Sched_Pay&gt;0),Beg_Bal-Sched_Pay,IF(Pay_Num&lt;&gt;"",0,"")))</f>
        <v>0</v>
      </c>
      <c r="F85" s="33">
        <f>IF(AND(Pay_Num&lt;&gt;"",Sched_Pay+Extra_Pay&lt;Beg_Bal),Sched_Pay+Extra_Pay,IF(Pay_Num&lt;&gt;"",Beg_Bal,""))</f>
        <v>0</v>
      </c>
      <c r="G85" s="33">
        <f>IF(Pay_Num&lt;&gt;"",Total_Pay-Int,"")</f>
        <v>0</v>
      </c>
      <c r="H85" s="33">
        <f>IF(Pay_Num&lt;&gt;"",Beg_Bal*Interest_Rate/Num_Pmt_Per_Year,"")</f>
        <v>0</v>
      </c>
      <c r="I85" s="33">
        <f>IF(AND(Pay_Num&lt;&gt;"",Sched_Pay+Extra_Pay&lt;Beg_Bal),Beg_Bal-Princ,IF(Pay_Num&lt;&gt;"",0,""))</f>
        <v>0</v>
      </c>
      <c r="J85" s="33">
        <f>SUM($H$18:$H85)</f>
        <v>264024.10073253291</v>
      </c>
    </row>
    <row r="86" spans="1:10" x14ac:dyDescent="0.3">
      <c r="A86" s="36">
        <f>IF(Values_Entered,A85+1,"")</f>
        <v>69</v>
      </c>
      <c r="B86" s="35">
        <f>IF(Pay_Num&lt;&gt;"",DATE(YEAR(Loan_Start),MONTH(Loan_Start)+(Pay_Num)*12/Num_Pmt_Per_Year,DAY(Loan_Start)),"")</f>
        <v>47484</v>
      </c>
      <c r="C86" s="33">
        <f>IF(Pay_Num&lt;&gt;"",I85,"")</f>
        <v>0</v>
      </c>
      <c r="D86" s="33">
        <f>IF(Pay_Num&lt;&gt;"",Scheduled_Monthly_Payment,"")</f>
        <v>26333.835431927764</v>
      </c>
      <c r="E86" s="34">
        <f>IF(AND(Pay_Num&lt;&gt;"",Sched_Pay+Scheduled_Extra_Payments&lt;Beg_Bal),Scheduled_Extra_Payments,IF(AND(Pay_Num&lt;&gt;"",Beg_Bal-Sched_Pay&gt;0),Beg_Bal-Sched_Pay,IF(Pay_Num&lt;&gt;"",0,"")))</f>
        <v>0</v>
      </c>
      <c r="F86" s="33">
        <f>IF(AND(Pay_Num&lt;&gt;"",Sched_Pay+Extra_Pay&lt;Beg_Bal),Sched_Pay+Extra_Pay,IF(Pay_Num&lt;&gt;"",Beg_Bal,""))</f>
        <v>0</v>
      </c>
      <c r="G86" s="33">
        <f>IF(Pay_Num&lt;&gt;"",Total_Pay-Int,"")</f>
        <v>0</v>
      </c>
      <c r="H86" s="33">
        <f>IF(Pay_Num&lt;&gt;"",Beg_Bal*Interest_Rate/Num_Pmt_Per_Year,"")</f>
        <v>0</v>
      </c>
      <c r="I86" s="33">
        <f>IF(AND(Pay_Num&lt;&gt;"",Sched_Pay+Extra_Pay&lt;Beg_Bal),Beg_Bal-Princ,IF(Pay_Num&lt;&gt;"",0,""))</f>
        <v>0</v>
      </c>
      <c r="J86" s="33">
        <f>SUM($H$18:$H86)</f>
        <v>264024.10073253291</v>
      </c>
    </row>
    <row r="87" spans="1:10" x14ac:dyDescent="0.3">
      <c r="A87" s="36">
        <f>IF(Values_Entered,A86+1,"")</f>
        <v>70</v>
      </c>
      <c r="B87" s="35">
        <f>IF(Pay_Num&lt;&gt;"",DATE(YEAR(Loan_Start),MONTH(Loan_Start)+(Pay_Num)*12/Num_Pmt_Per_Year,DAY(Loan_Start)),"")</f>
        <v>47515</v>
      </c>
      <c r="C87" s="33">
        <f>IF(Pay_Num&lt;&gt;"",I86,"")</f>
        <v>0</v>
      </c>
      <c r="D87" s="33">
        <f>IF(Pay_Num&lt;&gt;"",Scheduled_Monthly_Payment,"")</f>
        <v>26333.835431927764</v>
      </c>
      <c r="E87" s="34">
        <f>IF(AND(Pay_Num&lt;&gt;"",Sched_Pay+Scheduled_Extra_Payments&lt;Beg_Bal),Scheduled_Extra_Payments,IF(AND(Pay_Num&lt;&gt;"",Beg_Bal-Sched_Pay&gt;0),Beg_Bal-Sched_Pay,IF(Pay_Num&lt;&gt;"",0,"")))</f>
        <v>0</v>
      </c>
      <c r="F87" s="33">
        <f>IF(AND(Pay_Num&lt;&gt;"",Sched_Pay+Extra_Pay&lt;Beg_Bal),Sched_Pay+Extra_Pay,IF(Pay_Num&lt;&gt;"",Beg_Bal,""))</f>
        <v>0</v>
      </c>
      <c r="G87" s="33">
        <f>IF(Pay_Num&lt;&gt;"",Total_Pay-Int,"")</f>
        <v>0</v>
      </c>
      <c r="H87" s="33">
        <f>IF(Pay_Num&lt;&gt;"",Beg_Bal*Interest_Rate/Num_Pmt_Per_Year,"")</f>
        <v>0</v>
      </c>
      <c r="I87" s="33">
        <f>IF(AND(Pay_Num&lt;&gt;"",Sched_Pay+Extra_Pay&lt;Beg_Bal),Beg_Bal-Princ,IF(Pay_Num&lt;&gt;"",0,""))</f>
        <v>0</v>
      </c>
      <c r="J87" s="33">
        <f>SUM($H$18:$H87)</f>
        <v>264024.10073253291</v>
      </c>
    </row>
    <row r="88" spans="1:10" x14ac:dyDescent="0.3">
      <c r="A88" s="36">
        <f>IF(Values_Entered,A87+1,"")</f>
        <v>71</v>
      </c>
      <c r="B88" s="35">
        <f>IF(Pay_Num&lt;&gt;"",DATE(YEAR(Loan_Start),MONTH(Loan_Start)+(Pay_Num)*12/Num_Pmt_Per_Year,DAY(Loan_Start)),"")</f>
        <v>47543</v>
      </c>
      <c r="C88" s="33">
        <f>IF(Pay_Num&lt;&gt;"",I87,"")</f>
        <v>0</v>
      </c>
      <c r="D88" s="33">
        <f>IF(Pay_Num&lt;&gt;"",Scheduled_Monthly_Payment,"")</f>
        <v>26333.835431927764</v>
      </c>
      <c r="E88" s="34">
        <f>IF(AND(Pay_Num&lt;&gt;"",Sched_Pay+Scheduled_Extra_Payments&lt;Beg_Bal),Scheduled_Extra_Payments,IF(AND(Pay_Num&lt;&gt;"",Beg_Bal-Sched_Pay&gt;0),Beg_Bal-Sched_Pay,IF(Pay_Num&lt;&gt;"",0,"")))</f>
        <v>0</v>
      </c>
      <c r="F88" s="33">
        <f>IF(AND(Pay_Num&lt;&gt;"",Sched_Pay+Extra_Pay&lt;Beg_Bal),Sched_Pay+Extra_Pay,IF(Pay_Num&lt;&gt;"",Beg_Bal,""))</f>
        <v>0</v>
      </c>
      <c r="G88" s="33">
        <f>IF(Pay_Num&lt;&gt;"",Total_Pay-Int,"")</f>
        <v>0</v>
      </c>
      <c r="H88" s="33">
        <f>IF(Pay_Num&lt;&gt;"",Beg_Bal*Interest_Rate/Num_Pmt_Per_Year,"")</f>
        <v>0</v>
      </c>
      <c r="I88" s="33">
        <f>IF(AND(Pay_Num&lt;&gt;"",Sched_Pay+Extra_Pay&lt;Beg_Bal),Beg_Bal-Princ,IF(Pay_Num&lt;&gt;"",0,""))</f>
        <v>0</v>
      </c>
      <c r="J88" s="33">
        <f>SUM($H$18:$H88)</f>
        <v>264024.10073253291</v>
      </c>
    </row>
    <row r="89" spans="1:10" x14ac:dyDescent="0.3">
      <c r="A89" s="36">
        <f>IF(Values_Entered,A88+1,"")</f>
        <v>72</v>
      </c>
      <c r="B89" s="35">
        <f>IF(Pay_Num&lt;&gt;"",DATE(YEAR(Loan_Start),MONTH(Loan_Start)+(Pay_Num)*12/Num_Pmt_Per_Year,DAY(Loan_Start)),"")</f>
        <v>47574</v>
      </c>
      <c r="C89" s="33">
        <f>IF(Pay_Num&lt;&gt;"",I88,"")</f>
        <v>0</v>
      </c>
      <c r="D89" s="33">
        <f>IF(Pay_Num&lt;&gt;"",Scheduled_Monthly_Payment,"")</f>
        <v>26333.835431927764</v>
      </c>
      <c r="E89" s="34">
        <f>IF(AND(Pay_Num&lt;&gt;"",Sched_Pay+Scheduled_Extra_Payments&lt;Beg_Bal),Scheduled_Extra_Payments,IF(AND(Pay_Num&lt;&gt;"",Beg_Bal-Sched_Pay&gt;0),Beg_Bal-Sched_Pay,IF(Pay_Num&lt;&gt;"",0,"")))</f>
        <v>0</v>
      </c>
      <c r="F89" s="33">
        <f>IF(AND(Pay_Num&lt;&gt;"",Sched_Pay+Extra_Pay&lt;Beg_Bal),Sched_Pay+Extra_Pay,IF(Pay_Num&lt;&gt;"",Beg_Bal,""))</f>
        <v>0</v>
      </c>
      <c r="G89" s="33">
        <f>IF(Pay_Num&lt;&gt;"",Total_Pay-Int,"")</f>
        <v>0</v>
      </c>
      <c r="H89" s="33">
        <f>IF(Pay_Num&lt;&gt;"",Beg_Bal*Interest_Rate/Num_Pmt_Per_Year,"")</f>
        <v>0</v>
      </c>
      <c r="I89" s="33">
        <f>IF(AND(Pay_Num&lt;&gt;"",Sched_Pay+Extra_Pay&lt;Beg_Bal),Beg_Bal-Princ,IF(Pay_Num&lt;&gt;"",0,""))</f>
        <v>0</v>
      </c>
      <c r="J89" s="33">
        <f>SUM($H$18:$H89)</f>
        <v>264024.10073253291</v>
      </c>
    </row>
    <row r="90" spans="1:10" x14ac:dyDescent="0.3">
      <c r="A90" s="36">
        <f>IF(Values_Entered,A89+1,"")</f>
        <v>73</v>
      </c>
      <c r="B90" s="35">
        <f>IF(Pay_Num&lt;&gt;"",DATE(YEAR(Loan_Start),MONTH(Loan_Start)+(Pay_Num)*12/Num_Pmt_Per_Year,DAY(Loan_Start)),"")</f>
        <v>47604</v>
      </c>
      <c r="C90" s="33">
        <f>IF(Pay_Num&lt;&gt;"",I89,"")</f>
        <v>0</v>
      </c>
      <c r="D90" s="33">
        <f>IF(Pay_Num&lt;&gt;"",Scheduled_Monthly_Payment,"")</f>
        <v>26333.835431927764</v>
      </c>
      <c r="E90" s="34">
        <f>IF(AND(Pay_Num&lt;&gt;"",Sched_Pay+Scheduled_Extra_Payments&lt;Beg_Bal),Scheduled_Extra_Payments,IF(AND(Pay_Num&lt;&gt;"",Beg_Bal-Sched_Pay&gt;0),Beg_Bal-Sched_Pay,IF(Pay_Num&lt;&gt;"",0,"")))</f>
        <v>0</v>
      </c>
      <c r="F90" s="33">
        <f>IF(AND(Pay_Num&lt;&gt;"",Sched_Pay+Extra_Pay&lt;Beg_Bal),Sched_Pay+Extra_Pay,IF(Pay_Num&lt;&gt;"",Beg_Bal,""))</f>
        <v>0</v>
      </c>
      <c r="G90" s="33">
        <f>IF(Pay_Num&lt;&gt;"",Total_Pay-Int,"")</f>
        <v>0</v>
      </c>
      <c r="H90" s="33">
        <f>IF(Pay_Num&lt;&gt;"",Beg_Bal*Interest_Rate/Num_Pmt_Per_Year,"")</f>
        <v>0</v>
      </c>
      <c r="I90" s="33">
        <f>IF(AND(Pay_Num&lt;&gt;"",Sched_Pay+Extra_Pay&lt;Beg_Bal),Beg_Bal-Princ,IF(Pay_Num&lt;&gt;"",0,""))</f>
        <v>0</v>
      </c>
      <c r="J90" s="33">
        <f>SUM($H$18:$H90)</f>
        <v>264024.10073253291</v>
      </c>
    </row>
    <row r="91" spans="1:10" x14ac:dyDescent="0.3">
      <c r="A91" s="36">
        <f>IF(Values_Entered,A90+1,"")</f>
        <v>74</v>
      </c>
      <c r="B91" s="35">
        <f>IF(Pay_Num&lt;&gt;"",DATE(YEAR(Loan_Start),MONTH(Loan_Start)+(Pay_Num)*12/Num_Pmt_Per_Year,DAY(Loan_Start)),"")</f>
        <v>47635</v>
      </c>
      <c r="C91" s="33">
        <f>IF(Pay_Num&lt;&gt;"",I90,"")</f>
        <v>0</v>
      </c>
      <c r="D91" s="33">
        <f>IF(Pay_Num&lt;&gt;"",Scheduled_Monthly_Payment,"")</f>
        <v>26333.835431927764</v>
      </c>
      <c r="E91" s="34">
        <f>IF(AND(Pay_Num&lt;&gt;"",Sched_Pay+Scheduled_Extra_Payments&lt;Beg_Bal),Scheduled_Extra_Payments,IF(AND(Pay_Num&lt;&gt;"",Beg_Bal-Sched_Pay&gt;0),Beg_Bal-Sched_Pay,IF(Pay_Num&lt;&gt;"",0,"")))</f>
        <v>0</v>
      </c>
      <c r="F91" s="33">
        <f>IF(AND(Pay_Num&lt;&gt;"",Sched_Pay+Extra_Pay&lt;Beg_Bal),Sched_Pay+Extra_Pay,IF(Pay_Num&lt;&gt;"",Beg_Bal,""))</f>
        <v>0</v>
      </c>
      <c r="G91" s="33">
        <f>IF(Pay_Num&lt;&gt;"",Total_Pay-Int,"")</f>
        <v>0</v>
      </c>
      <c r="H91" s="33">
        <f>IF(Pay_Num&lt;&gt;"",Beg_Bal*Interest_Rate/Num_Pmt_Per_Year,"")</f>
        <v>0</v>
      </c>
      <c r="I91" s="33">
        <f>IF(AND(Pay_Num&lt;&gt;"",Sched_Pay+Extra_Pay&lt;Beg_Bal),Beg_Bal-Princ,IF(Pay_Num&lt;&gt;"",0,""))</f>
        <v>0</v>
      </c>
      <c r="J91" s="33">
        <f>SUM($H$18:$H91)</f>
        <v>264024.10073253291</v>
      </c>
    </row>
    <row r="92" spans="1:10" x14ac:dyDescent="0.3">
      <c r="A92" s="36">
        <f>IF(Values_Entered,A91+1,"")</f>
        <v>75</v>
      </c>
      <c r="B92" s="35">
        <f>IF(Pay_Num&lt;&gt;"",DATE(YEAR(Loan_Start),MONTH(Loan_Start)+(Pay_Num)*12/Num_Pmt_Per_Year,DAY(Loan_Start)),"")</f>
        <v>47665</v>
      </c>
      <c r="C92" s="33">
        <f>IF(Pay_Num&lt;&gt;"",I91,"")</f>
        <v>0</v>
      </c>
      <c r="D92" s="33">
        <f>IF(Pay_Num&lt;&gt;"",Scheduled_Monthly_Payment,"")</f>
        <v>26333.835431927764</v>
      </c>
      <c r="E92" s="34">
        <f>IF(AND(Pay_Num&lt;&gt;"",Sched_Pay+Scheduled_Extra_Payments&lt;Beg_Bal),Scheduled_Extra_Payments,IF(AND(Pay_Num&lt;&gt;"",Beg_Bal-Sched_Pay&gt;0),Beg_Bal-Sched_Pay,IF(Pay_Num&lt;&gt;"",0,"")))</f>
        <v>0</v>
      </c>
      <c r="F92" s="33">
        <f>IF(AND(Pay_Num&lt;&gt;"",Sched_Pay+Extra_Pay&lt;Beg_Bal),Sched_Pay+Extra_Pay,IF(Pay_Num&lt;&gt;"",Beg_Bal,""))</f>
        <v>0</v>
      </c>
      <c r="G92" s="33">
        <f>IF(Pay_Num&lt;&gt;"",Total_Pay-Int,"")</f>
        <v>0</v>
      </c>
      <c r="H92" s="33">
        <f>IF(Pay_Num&lt;&gt;"",Beg_Bal*Interest_Rate/Num_Pmt_Per_Year,"")</f>
        <v>0</v>
      </c>
      <c r="I92" s="33">
        <f>IF(AND(Pay_Num&lt;&gt;"",Sched_Pay+Extra_Pay&lt;Beg_Bal),Beg_Bal-Princ,IF(Pay_Num&lt;&gt;"",0,""))</f>
        <v>0</v>
      </c>
      <c r="J92" s="33">
        <f>SUM($H$18:$H92)</f>
        <v>264024.10073253291</v>
      </c>
    </row>
    <row r="93" spans="1:10" x14ac:dyDescent="0.3">
      <c r="A93" s="36">
        <f>IF(Values_Entered,A92+1,"")</f>
        <v>76</v>
      </c>
      <c r="B93" s="35">
        <f>IF(Pay_Num&lt;&gt;"",DATE(YEAR(Loan_Start),MONTH(Loan_Start)+(Pay_Num)*12/Num_Pmt_Per_Year,DAY(Loan_Start)),"")</f>
        <v>47696</v>
      </c>
      <c r="C93" s="33">
        <f>IF(Pay_Num&lt;&gt;"",I92,"")</f>
        <v>0</v>
      </c>
      <c r="D93" s="33">
        <f>IF(Pay_Num&lt;&gt;"",Scheduled_Monthly_Payment,"")</f>
        <v>26333.835431927764</v>
      </c>
      <c r="E93" s="34">
        <f>IF(AND(Pay_Num&lt;&gt;"",Sched_Pay+Scheduled_Extra_Payments&lt;Beg_Bal),Scheduled_Extra_Payments,IF(AND(Pay_Num&lt;&gt;"",Beg_Bal-Sched_Pay&gt;0),Beg_Bal-Sched_Pay,IF(Pay_Num&lt;&gt;"",0,"")))</f>
        <v>0</v>
      </c>
      <c r="F93" s="33">
        <f>IF(AND(Pay_Num&lt;&gt;"",Sched_Pay+Extra_Pay&lt;Beg_Bal),Sched_Pay+Extra_Pay,IF(Pay_Num&lt;&gt;"",Beg_Bal,""))</f>
        <v>0</v>
      </c>
      <c r="G93" s="33">
        <f>IF(Pay_Num&lt;&gt;"",Total_Pay-Int,"")</f>
        <v>0</v>
      </c>
      <c r="H93" s="33">
        <f>IF(Pay_Num&lt;&gt;"",Beg_Bal*Interest_Rate/Num_Pmt_Per_Year,"")</f>
        <v>0</v>
      </c>
      <c r="I93" s="33">
        <f>IF(AND(Pay_Num&lt;&gt;"",Sched_Pay+Extra_Pay&lt;Beg_Bal),Beg_Bal-Princ,IF(Pay_Num&lt;&gt;"",0,""))</f>
        <v>0</v>
      </c>
      <c r="J93" s="33">
        <f>SUM($H$18:$H93)</f>
        <v>264024.10073253291</v>
      </c>
    </row>
    <row r="94" spans="1:10" x14ac:dyDescent="0.3">
      <c r="A94" s="36">
        <f>IF(Values_Entered,A93+1,"")</f>
        <v>77</v>
      </c>
      <c r="B94" s="35">
        <f>IF(Pay_Num&lt;&gt;"",DATE(YEAR(Loan_Start),MONTH(Loan_Start)+(Pay_Num)*12/Num_Pmt_Per_Year,DAY(Loan_Start)),"")</f>
        <v>47727</v>
      </c>
      <c r="C94" s="33">
        <f>IF(Pay_Num&lt;&gt;"",I93,"")</f>
        <v>0</v>
      </c>
      <c r="D94" s="33">
        <f>IF(Pay_Num&lt;&gt;"",Scheduled_Monthly_Payment,"")</f>
        <v>26333.835431927764</v>
      </c>
      <c r="E94" s="34">
        <f>IF(AND(Pay_Num&lt;&gt;"",Sched_Pay+Scheduled_Extra_Payments&lt;Beg_Bal),Scheduled_Extra_Payments,IF(AND(Pay_Num&lt;&gt;"",Beg_Bal-Sched_Pay&gt;0),Beg_Bal-Sched_Pay,IF(Pay_Num&lt;&gt;"",0,"")))</f>
        <v>0</v>
      </c>
      <c r="F94" s="33">
        <f>IF(AND(Pay_Num&lt;&gt;"",Sched_Pay+Extra_Pay&lt;Beg_Bal),Sched_Pay+Extra_Pay,IF(Pay_Num&lt;&gt;"",Beg_Bal,""))</f>
        <v>0</v>
      </c>
      <c r="G94" s="33">
        <f>IF(Pay_Num&lt;&gt;"",Total_Pay-Int,"")</f>
        <v>0</v>
      </c>
      <c r="H94" s="33">
        <f>IF(Pay_Num&lt;&gt;"",Beg_Bal*Interest_Rate/Num_Pmt_Per_Year,"")</f>
        <v>0</v>
      </c>
      <c r="I94" s="33">
        <f>IF(AND(Pay_Num&lt;&gt;"",Sched_Pay+Extra_Pay&lt;Beg_Bal),Beg_Bal-Princ,IF(Pay_Num&lt;&gt;"",0,""))</f>
        <v>0</v>
      </c>
      <c r="J94" s="33">
        <f>SUM($H$18:$H94)</f>
        <v>264024.10073253291</v>
      </c>
    </row>
    <row r="95" spans="1:10" x14ac:dyDescent="0.3">
      <c r="A95" s="36">
        <f>IF(Values_Entered,A94+1,"")</f>
        <v>78</v>
      </c>
      <c r="B95" s="35">
        <f>IF(Pay_Num&lt;&gt;"",DATE(YEAR(Loan_Start),MONTH(Loan_Start)+(Pay_Num)*12/Num_Pmt_Per_Year,DAY(Loan_Start)),"")</f>
        <v>47757</v>
      </c>
      <c r="C95" s="33">
        <f>IF(Pay_Num&lt;&gt;"",I94,"")</f>
        <v>0</v>
      </c>
      <c r="D95" s="33">
        <f>IF(Pay_Num&lt;&gt;"",Scheduled_Monthly_Payment,"")</f>
        <v>26333.835431927764</v>
      </c>
      <c r="E95" s="34">
        <f>IF(AND(Pay_Num&lt;&gt;"",Sched_Pay+Scheduled_Extra_Payments&lt;Beg_Bal),Scheduled_Extra_Payments,IF(AND(Pay_Num&lt;&gt;"",Beg_Bal-Sched_Pay&gt;0),Beg_Bal-Sched_Pay,IF(Pay_Num&lt;&gt;"",0,"")))</f>
        <v>0</v>
      </c>
      <c r="F95" s="33">
        <f>IF(AND(Pay_Num&lt;&gt;"",Sched_Pay+Extra_Pay&lt;Beg_Bal),Sched_Pay+Extra_Pay,IF(Pay_Num&lt;&gt;"",Beg_Bal,""))</f>
        <v>0</v>
      </c>
      <c r="G95" s="33">
        <f>IF(Pay_Num&lt;&gt;"",Total_Pay-Int,"")</f>
        <v>0</v>
      </c>
      <c r="H95" s="33">
        <f>IF(Pay_Num&lt;&gt;"",Beg_Bal*Interest_Rate/Num_Pmt_Per_Year,"")</f>
        <v>0</v>
      </c>
      <c r="I95" s="33">
        <f>IF(AND(Pay_Num&lt;&gt;"",Sched_Pay+Extra_Pay&lt;Beg_Bal),Beg_Bal-Princ,IF(Pay_Num&lt;&gt;"",0,""))</f>
        <v>0</v>
      </c>
      <c r="J95" s="33">
        <f>SUM($H$18:$H95)</f>
        <v>264024.10073253291</v>
      </c>
    </row>
    <row r="96" spans="1:10" x14ac:dyDescent="0.3">
      <c r="A96" s="36">
        <f>IF(Values_Entered,A95+1,"")</f>
        <v>79</v>
      </c>
      <c r="B96" s="35">
        <f>IF(Pay_Num&lt;&gt;"",DATE(YEAR(Loan_Start),MONTH(Loan_Start)+(Pay_Num)*12/Num_Pmt_Per_Year,DAY(Loan_Start)),"")</f>
        <v>47788</v>
      </c>
      <c r="C96" s="33">
        <f>IF(Pay_Num&lt;&gt;"",I95,"")</f>
        <v>0</v>
      </c>
      <c r="D96" s="33">
        <f>IF(Pay_Num&lt;&gt;"",Scheduled_Monthly_Payment,"")</f>
        <v>26333.835431927764</v>
      </c>
      <c r="E96" s="34">
        <f>IF(AND(Pay_Num&lt;&gt;"",Sched_Pay+Scheduled_Extra_Payments&lt;Beg_Bal),Scheduled_Extra_Payments,IF(AND(Pay_Num&lt;&gt;"",Beg_Bal-Sched_Pay&gt;0),Beg_Bal-Sched_Pay,IF(Pay_Num&lt;&gt;"",0,"")))</f>
        <v>0</v>
      </c>
      <c r="F96" s="33">
        <f>IF(AND(Pay_Num&lt;&gt;"",Sched_Pay+Extra_Pay&lt;Beg_Bal),Sched_Pay+Extra_Pay,IF(Pay_Num&lt;&gt;"",Beg_Bal,""))</f>
        <v>0</v>
      </c>
      <c r="G96" s="33">
        <f>IF(Pay_Num&lt;&gt;"",Total_Pay-Int,"")</f>
        <v>0</v>
      </c>
      <c r="H96" s="33">
        <f>IF(Pay_Num&lt;&gt;"",Beg_Bal*Interest_Rate/Num_Pmt_Per_Year,"")</f>
        <v>0</v>
      </c>
      <c r="I96" s="33">
        <f>IF(AND(Pay_Num&lt;&gt;"",Sched_Pay+Extra_Pay&lt;Beg_Bal),Beg_Bal-Princ,IF(Pay_Num&lt;&gt;"",0,""))</f>
        <v>0</v>
      </c>
      <c r="J96" s="33">
        <f>SUM($H$18:$H96)</f>
        <v>264024.10073253291</v>
      </c>
    </row>
    <row r="97" spans="1:10" x14ac:dyDescent="0.3">
      <c r="A97" s="36">
        <f>IF(Values_Entered,A96+1,"")</f>
        <v>80</v>
      </c>
      <c r="B97" s="35">
        <f>IF(Pay_Num&lt;&gt;"",DATE(YEAR(Loan_Start),MONTH(Loan_Start)+(Pay_Num)*12/Num_Pmt_Per_Year,DAY(Loan_Start)),"")</f>
        <v>47818</v>
      </c>
      <c r="C97" s="33">
        <f>IF(Pay_Num&lt;&gt;"",I96,"")</f>
        <v>0</v>
      </c>
      <c r="D97" s="33">
        <f>IF(Pay_Num&lt;&gt;"",Scheduled_Monthly_Payment,"")</f>
        <v>26333.835431927764</v>
      </c>
      <c r="E97" s="34">
        <f>IF(AND(Pay_Num&lt;&gt;"",Sched_Pay+Scheduled_Extra_Payments&lt;Beg_Bal),Scheduled_Extra_Payments,IF(AND(Pay_Num&lt;&gt;"",Beg_Bal-Sched_Pay&gt;0),Beg_Bal-Sched_Pay,IF(Pay_Num&lt;&gt;"",0,"")))</f>
        <v>0</v>
      </c>
      <c r="F97" s="33">
        <f>IF(AND(Pay_Num&lt;&gt;"",Sched_Pay+Extra_Pay&lt;Beg_Bal),Sched_Pay+Extra_Pay,IF(Pay_Num&lt;&gt;"",Beg_Bal,""))</f>
        <v>0</v>
      </c>
      <c r="G97" s="33">
        <f>IF(Pay_Num&lt;&gt;"",Total_Pay-Int,"")</f>
        <v>0</v>
      </c>
      <c r="H97" s="33">
        <f>IF(Pay_Num&lt;&gt;"",Beg_Bal*Interest_Rate/Num_Pmt_Per_Year,"")</f>
        <v>0</v>
      </c>
      <c r="I97" s="33">
        <f>IF(AND(Pay_Num&lt;&gt;"",Sched_Pay+Extra_Pay&lt;Beg_Bal),Beg_Bal-Princ,IF(Pay_Num&lt;&gt;"",0,""))</f>
        <v>0</v>
      </c>
      <c r="J97" s="33">
        <f>SUM($H$18:$H97)</f>
        <v>264024.10073253291</v>
      </c>
    </row>
    <row r="98" spans="1:10" x14ac:dyDescent="0.3">
      <c r="A98" s="36">
        <f>IF(Values_Entered,A97+1,"")</f>
        <v>81</v>
      </c>
      <c r="B98" s="35">
        <f>IF(Pay_Num&lt;&gt;"",DATE(YEAR(Loan_Start),MONTH(Loan_Start)+(Pay_Num)*12/Num_Pmt_Per_Year,DAY(Loan_Start)),"")</f>
        <v>47849</v>
      </c>
      <c r="C98" s="33">
        <f>IF(Pay_Num&lt;&gt;"",I97,"")</f>
        <v>0</v>
      </c>
      <c r="D98" s="33">
        <f>IF(Pay_Num&lt;&gt;"",Scheduled_Monthly_Payment,"")</f>
        <v>26333.835431927764</v>
      </c>
      <c r="E98" s="34">
        <f>IF(AND(Pay_Num&lt;&gt;"",Sched_Pay+Scheduled_Extra_Payments&lt;Beg_Bal),Scheduled_Extra_Payments,IF(AND(Pay_Num&lt;&gt;"",Beg_Bal-Sched_Pay&gt;0),Beg_Bal-Sched_Pay,IF(Pay_Num&lt;&gt;"",0,"")))</f>
        <v>0</v>
      </c>
      <c r="F98" s="33">
        <f>IF(AND(Pay_Num&lt;&gt;"",Sched_Pay+Extra_Pay&lt;Beg_Bal),Sched_Pay+Extra_Pay,IF(Pay_Num&lt;&gt;"",Beg_Bal,""))</f>
        <v>0</v>
      </c>
      <c r="G98" s="33">
        <f>IF(Pay_Num&lt;&gt;"",Total_Pay-Int,"")</f>
        <v>0</v>
      </c>
      <c r="H98" s="33">
        <f>IF(Pay_Num&lt;&gt;"",Beg_Bal*Interest_Rate/Num_Pmt_Per_Year,"")</f>
        <v>0</v>
      </c>
      <c r="I98" s="33">
        <f>IF(AND(Pay_Num&lt;&gt;"",Sched_Pay+Extra_Pay&lt;Beg_Bal),Beg_Bal-Princ,IF(Pay_Num&lt;&gt;"",0,""))</f>
        <v>0</v>
      </c>
      <c r="J98" s="33">
        <f>SUM($H$18:$H98)</f>
        <v>264024.10073253291</v>
      </c>
    </row>
    <row r="99" spans="1:10" x14ac:dyDescent="0.3">
      <c r="A99" s="36">
        <f>IF(Values_Entered,A98+1,"")</f>
        <v>82</v>
      </c>
      <c r="B99" s="35">
        <f>IF(Pay_Num&lt;&gt;"",DATE(YEAR(Loan_Start),MONTH(Loan_Start)+(Pay_Num)*12/Num_Pmt_Per_Year,DAY(Loan_Start)),"")</f>
        <v>47880</v>
      </c>
      <c r="C99" s="33">
        <f>IF(Pay_Num&lt;&gt;"",I98,"")</f>
        <v>0</v>
      </c>
      <c r="D99" s="33">
        <f>IF(Pay_Num&lt;&gt;"",Scheduled_Monthly_Payment,"")</f>
        <v>26333.835431927764</v>
      </c>
      <c r="E99" s="34">
        <f>IF(AND(Pay_Num&lt;&gt;"",Sched_Pay+Scheduled_Extra_Payments&lt;Beg_Bal),Scheduled_Extra_Payments,IF(AND(Pay_Num&lt;&gt;"",Beg_Bal-Sched_Pay&gt;0),Beg_Bal-Sched_Pay,IF(Pay_Num&lt;&gt;"",0,"")))</f>
        <v>0</v>
      </c>
      <c r="F99" s="33">
        <f>IF(AND(Pay_Num&lt;&gt;"",Sched_Pay+Extra_Pay&lt;Beg_Bal),Sched_Pay+Extra_Pay,IF(Pay_Num&lt;&gt;"",Beg_Bal,""))</f>
        <v>0</v>
      </c>
      <c r="G99" s="33">
        <f>IF(Pay_Num&lt;&gt;"",Total_Pay-Int,"")</f>
        <v>0</v>
      </c>
      <c r="H99" s="33">
        <f>IF(Pay_Num&lt;&gt;"",Beg_Bal*Interest_Rate/Num_Pmt_Per_Year,"")</f>
        <v>0</v>
      </c>
      <c r="I99" s="33">
        <f>IF(AND(Pay_Num&lt;&gt;"",Sched_Pay+Extra_Pay&lt;Beg_Bal),Beg_Bal-Princ,IF(Pay_Num&lt;&gt;"",0,""))</f>
        <v>0</v>
      </c>
      <c r="J99" s="33">
        <f>SUM($H$18:$H99)</f>
        <v>264024.10073253291</v>
      </c>
    </row>
    <row r="100" spans="1:10" x14ac:dyDescent="0.3">
      <c r="A100" s="36">
        <f>IF(Values_Entered,A99+1,"")</f>
        <v>83</v>
      </c>
      <c r="B100" s="35">
        <f>IF(Pay_Num&lt;&gt;"",DATE(YEAR(Loan_Start),MONTH(Loan_Start)+(Pay_Num)*12/Num_Pmt_Per_Year,DAY(Loan_Start)),"")</f>
        <v>47908</v>
      </c>
      <c r="C100" s="33">
        <f>IF(Pay_Num&lt;&gt;"",I99,"")</f>
        <v>0</v>
      </c>
      <c r="D100" s="33">
        <f>IF(Pay_Num&lt;&gt;"",Scheduled_Monthly_Payment,"")</f>
        <v>26333.835431927764</v>
      </c>
      <c r="E100" s="34">
        <f>IF(AND(Pay_Num&lt;&gt;"",Sched_Pay+Scheduled_Extra_Payments&lt;Beg_Bal),Scheduled_Extra_Payments,IF(AND(Pay_Num&lt;&gt;"",Beg_Bal-Sched_Pay&gt;0),Beg_Bal-Sched_Pay,IF(Pay_Num&lt;&gt;"",0,"")))</f>
        <v>0</v>
      </c>
      <c r="F100" s="33">
        <f>IF(AND(Pay_Num&lt;&gt;"",Sched_Pay+Extra_Pay&lt;Beg_Bal),Sched_Pay+Extra_Pay,IF(Pay_Num&lt;&gt;"",Beg_Bal,""))</f>
        <v>0</v>
      </c>
      <c r="G100" s="33">
        <f>IF(Pay_Num&lt;&gt;"",Total_Pay-Int,"")</f>
        <v>0</v>
      </c>
      <c r="H100" s="33">
        <f>IF(Pay_Num&lt;&gt;"",Beg_Bal*Interest_Rate/Num_Pmt_Per_Year,"")</f>
        <v>0</v>
      </c>
      <c r="I100" s="33">
        <f>IF(AND(Pay_Num&lt;&gt;"",Sched_Pay+Extra_Pay&lt;Beg_Bal),Beg_Bal-Princ,IF(Pay_Num&lt;&gt;"",0,""))</f>
        <v>0</v>
      </c>
      <c r="J100" s="33">
        <f>SUM($H$18:$H100)</f>
        <v>264024.10073253291</v>
      </c>
    </row>
    <row r="101" spans="1:10" x14ac:dyDescent="0.3">
      <c r="A101" s="36">
        <f>IF(Values_Entered,A100+1,"")</f>
        <v>84</v>
      </c>
      <c r="B101" s="35">
        <f>IF(Pay_Num&lt;&gt;"",DATE(YEAR(Loan_Start),MONTH(Loan_Start)+(Pay_Num)*12/Num_Pmt_Per_Year,DAY(Loan_Start)),"")</f>
        <v>47939</v>
      </c>
      <c r="C101" s="33">
        <f>IF(Pay_Num&lt;&gt;"",I100,"")</f>
        <v>0</v>
      </c>
      <c r="D101" s="33">
        <f>IF(Pay_Num&lt;&gt;"",Scheduled_Monthly_Payment,"")</f>
        <v>26333.835431927764</v>
      </c>
      <c r="E101" s="34">
        <f>IF(AND(Pay_Num&lt;&gt;"",Sched_Pay+Scheduled_Extra_Payments&lt;Beg_Bal),Scheduled_Extra_Payments,IF(AND(Pay_Num&lt;&gt;"",Beg_Bal-Sched_Pay&gt;0),Beg_Bal-Sched_Pay,IF(Pay_Num&lt;&gt;"",0,"")))</f>
        <v>0</v>
      </c>
      <c r="F101" s="33">
        <f>IF(AND(Pay_Num&lt;&gt;"",Sched_Pay+Extra_Pay&lt;Beg_Bal),Sched_Pay+Extra_Pay,IF(Pay_Num&lt;&gt;"",Beg_Bal,""))</f>
        <v>0</v>
      </c>
      <c r="G101" s="33">
        <f>IF(Pay_Num&lt;&gt;"",Total_Pay-Int,"")</f>
        <v>0</v>
      </c>
      <c r="H101" s="33">
        <f>IF(Pay_Num&lt;&gt;"",Beg_Bal*Interest_Rate/Num_Pmt_Per_Year,"")</f>
        <v>0</v>
      </c>
      <c r="I101" s="33">
        <f>IF(AND(Pay_Num&lt;&gt;"",Sched_Pay+Extra_Pay&lt;Beg_Bal),Beg_Bal-Princ,IF(Pay_Num&lt;&gt;"",0,""))</f>
        <v>0</v>
      </c>
      <c r="J101" s="33">
        <f>SUM($H$18:$H101)</f>
        <v>264024.10073253291</v>
      </c>
    </row>
    <row r="102" spans="1:10" x14ac:dyDescent="0.3">
      <c r="A102" s="36">
        <f>IF(Values_Entered,A101+1,"")</f>
        <v>85</v>
      </c>
      <c r="B102" s="35">
        <f>IF(Pay_Num&lt;&gt;"",DATE(YEAR(Loan_Start),MONTH(Loan_Start)+(Pay_Num)*12/Num_Pmt_Per_Year,DAY(Loan_Start)),"")</f>
        <v>47969</v>
      </c>
      <c r="C102" s="33">
        <f>IF(Pay_Num&lt;&gt;"",I101,"")</f>
        <v>0</v>
      </c>
      <c r="D102" s="33">
        <f>IF(Pay_Num&lt;&gt;"",Scheduled_Monthly_Payment,"")</f>
        <v>26333.835431927764</v>
      </c>
      <c r="E102" s="34">
        <f>IF(AND(Pay_Num&lt;&gt;"",Sched_Pay+Scheduled_Extra_Payments&lt;Beg_Bal),Scheduled_Extra_Payments,IF(AND(Pay_Num&lt;&gt;"",Beg_Bal-Sched_Pay&gt;0),Beg_Bal-Sched_Pay,IF(Pay_Num&lt;&gt;"",0,"")))</f>
        <v>0</v>
      </c>
      <c r="F102" s="33">
        <f>IF(AND(Pay_Num&lt;&gt;"",Sched_Pay+Extra_Pay&lt;Beg_Bal),Sched_Pay+Extra_Pay,IF(Pay_Num&lt;&gt;"",Beg_Bal,""))</f>
        <v>0</v>
      </c>
      <c r="G102" s="33">
        <f>IF(Pay_Num&lt;&gt;"",Total_Pay-Int,"")</f>
        <v>0</v>
      </c>
      <c r="H102" s="33">
        <f>IF(Pay_Num&lt;&gt;"",Beg_Bal*Interest_Rate/Num_Pmt_Per_Year,"")</f>
        <v>0</v>
      </c>
      <c r="I102" s="33">
        <f>IF(AND(Pay_Num&lt;&gt;"",Sched_Pay+Extra_Pay&lt;Beg_Bal),Beg_Bal-Princ,IF(Pay_Num&lt;&gt;"",0,""))</f>
        <v>0</v>
      </c>
      <c r="J102" s="33">
        <f>SUM($H$18:$H102)</f>
        <v>264024.10073253291</v>
      </c>
    </row>
    <row r="103" spans="1:10" x14ac:dyDescent="0.3">
      <c r="A103" s="36">
        <f>IF(Values_Entered,A102+1,"")</f>
        <v>86</v>
      </c>
      <c r="B103" s="35">
        <f>IF(Pay_Num&lt;&gt;"",DATE(YEAR(Loan_Start),MONTH(Loan_Start)+(Pay_Num)*12/Num_Pmt_Per_Year,DAY(Loan_Start)),"")</f>
        <v>48000</v>
      </c>
      <c r="C103" s="33">
        <f>IF(Pay_Num&lt;&gt;"",I102,"")</f>
        <v>0</v>
      </c>
      <c r="D103" s="33">
        <f>IF(Pay_Num&lt;&gt;"",Scheduled_Monthly_Payment,"")</f>
        <v>26333.835431927764</v>
      </c>
      <c r="E103" s="34">
        <f>IF(AND(Pay_Num&lt;&gt;"",Sched_Pay+Scheduled_Extra_Payments&lt;Beg_Bal),Scheduled_Extra_Payments,IF(AND(Pay_Num&lt;&gt;"",Beg_Bal-Sched_Pay&gt;0),Beg_Bal-Sched_Pay,IF(Pay_Num&lt;&gt;"",0,"")))</f>
        <v>0</v>
      </c>
      <c r="F103" s="33">
        <f>IF(AND(Pay_Num&lt;&gt;"",Sched_Pay+Extra_Pay&lt;Beg_Bal),Sched_Pay+Extra_Pay,IF(Pay_Num&lt;&gt;"",Beg_Bal,""))</f>
        <v>0</v>
      </c>
      <c r="G103" s="33">
        <f>IF(Pay_Num&lt;&gt;"",Total_Pay-Int,"")</f>
        <v>0</v>
      </c>
      <c r="H103" s="33">
        <f>IF(Pay_Num&lt;&gt;"",Beg_Bal*Interest_Rate/Num_Pmt_Per_Year,"")</f>
        <v>0</v>
      </c>
      <c r="I103" s="33">
        <f>IF(AND(Pay_Num&lt;&gt;"",Sched_Pay+Extra_Pay&lt;Beg_Bal),Beg_Bal-Princ,IF(Pay_Num&lt;&gt;"",0,""))</f>
        <v>0</v>
      </c>
      <c r="J103" s="33">
        <f>SUM($H$18:$H103)</f>
        <v>264024.10073253291</v>
      </c>
    </row>
    <row r="104" spans="1:10" x14ac:dyDescent="0.3">
      <c r="A104" s="36">
        <f>IF(Values_Entered,A103+1,"")</f>
        <v>87</v>
      </c>
      <c r="B104" s="35">
        <f>IF(Pay_Num&lt;&gt;"",DATE(YEAR(Loan_Start),MONTH(Loan_Start)+(Pay_Num)*12/Num_Pmt_Per_Year,DAY(Loan_Start)),"")</f>
        <v>48030</v>
      </c>
      <c r="C104" s="33">
        <f>IF(Pay_Num&lt;&gt;"",I103,"")</f>
        <v>0</v>
      </c>
      <c r="D104" s="33">
        <f>IF(Pay_Num&lt;&gt;"",Scheduled_Monthly_Payment,"")</f>
        <v>26333.835431927764</v>
      </c>
      <c r="E104" s="34">
        <f>IF(AND(Pay_Num&lt;&gt;"",Sched_Pay+Scheduled_Extra_Payments&lt;Beg_Bal),Scheduled_Extra_Payments,IF(AND(Pay_Num&lt;&gt;"",Beg_Bal-Sched_Pay&gt;0),Beg_Bal-Sched_Pay,IF(Pay_Num&lt;&gt;"",0,"")))</f>
        <v>0</v>
      </c>
      <c r="F104" s="33">
        <f>IF(AND(Pay_Num&lt;&gt;"",Sched_Pay+Extra_Pay&lt;Beg_Bal),Sched_Pay+Extra_Pay,IF(Pay_Num&lt;&gt;"",Beg_Bal,""))</f>
        <v>0</v>
      </c>
      <c r="G104" s="33">
        <f>IF(Pay_Num&lt;&gt;"",Total_Pay-Int,"")</f>
        <v>0</v>
      </c>
      <c r="H104" s="33">
        <f>IF(Pay_Num&lt;&gt;"",Beg_Bal*Interest_Rate/Num_Pmt_Per_Year,"")</f>
        <v>0</v>
      </c>
      <c r="I104" s="33">
        <f>IF(AND(Pay_Num&lt;&gt;"",Sched_Pay+Extra_Pay&lt;Beg_Bal),Beg_Bal-Princ,IF(Pay_Num&lt;&gt;"",0,""))</f>
        <v>0</v>
      </c>
      <c r="J104" s="33">
        <f>SUM($H$18:$H104)</f>
        <v>264024.10073253291</v>
      </c>
    </row>
    <row r="105" spans="1:10" x14ac:dyDescent="0.3">
      <c r="A105" s="36">
        <f>IF(Values_Entered,A104+1,"")</f>
        <v>88</v>
      </c>
      <c r="B105" s="35">
        <f>IF(Pay_Num&lt;&gt;"",DATE(YEAR(Loan_Start),MONTH(Loan_Start)+(Pay_Num)*12/Num_Pmt_Per_Year,DAY(Loan_Start)),"")</f>
        <v>48061</v>
      </c>
      <c r="C105" s="33">
        <f>IF(Pay_Num&lt;&gt;"",I104,"")</f>
        <v>0</v>
      </c>
      <c r="D105" s="33">
        <f>IF(Pay_Num&lt;&gt;"",Scheduled_Monthly_Payment,"")</f>
        <v>26333.835431927764</v>
      </c>
      <c r="E105" s="34">
        <f>IF(AND(Pay_Num&lt;&gt;"",Sched_Pay+Scheduled_Extra_Payments&lt;Beg_Bal),Scheduled_Extra_Payments,IF(AND(Pay_Num&lt;&gt;"",Beg_Bal-Sched_Pay&gt;0),Beg_Bal-Sched_Pay,IF(Pay_Num&lt;&gt;"",0,"")))</f>
        <v>0</v>
      </c>
      <c r="F105" s="33">
        <f>IF(AND(Pay_Num&lt;&gt;"",Sched_Pay+Extra_Pay&lt;Beg_Bal),Sched_Pay+Extra_Pay,IF(Pay_Num&lt;&gt;"",Beg_Bal,""))</f>
        <v>0</v>
      </c>
      <c r="G105" s="33">
        <f>IF(Pay_Num&lt;&gt;"",Total_Pay-Int,"")</f>
        <v>0</v>
      </c>
      <c r="H105" s="33">
        <f>IF(Pay_Num&lt;&gt;"",Beg_Bal*Interest_Rate/Num_Pmt_Per_Year,"")</f>
        <v>0</v>
      </c>
      <c r="I105" s="33">
        <f>IF(AND(Pay_Num&lt;&gt;"",Sched_Pay+Extra_Pay&lt;Beg_Bal),Beg_Bal-Princ,IF(Pay_Num&lt;&gt;"",0,""))</f>
        <v>0</v>
      </c>
      <c r="J105" s="33">
        <f>SUM($H$18:$H105)</f>
        <v>264024.10073253291</v>
      </c>
    </row>
    <row r="106" spans="1:10" x14ac:dyDescent="0.3">
      <c r="A106" s="36">
        <f>IF(Values_Entered,A105+1,"")</f>
        <v>89</v>
      </c>
      <c r="B106" s="35">
        <f>IF(Pay_Num&lt;&gt;"",DATE(YEAR(Loan_Start),MONTH(Loan_Start)+(Pay_Num)*12/Num_Pmt_Per_Year,DAY(Loan_Start)),"")</f>
        <v>48092</v>
      </c>
      <c r="C106" s="33">
        <f>IF(Pay_Num&lt;&gt;"",I105,"")</f>
        <v>0</v>
      </c>
      <c r="D106" s="33">
        <f>IF(Pay_Num&lt;&gt;"",Scheduled_Monthly_Payment,"")</f>
        <v>26333.835431927764</v>
      </c>
      <c r="E106" s="34">
        <f>IF(AND(Pay_Num&lt;&gt;"",Sched_Pay+Scheduled_Extra_Payments&lt;Beg_Bal),Scheduled_Extra_Payments,IF(AND(Pay_Num&lt;&gt;"",Beg_Bal-Sched_Pay&gt;0),Beg_Bal-Sched_Pay,IF(Pay_Num&lt;&gt;"",0,"")))</f>
        <v>0</v>
      </c>
      <c r="F106" s="33">
        <f>IF(AND(Pay_Num&lt;&gt;"",Sched_Pay+Extra_Pay&lt;Beg_Bal),Sched_Pay+Extra_Pay,IF(Pay_Num&lt;&gt;"",Beg_Bal,""))</f>
        <v>0</v>
      </c>
      <c r="G106" s="33">
        <f>IF(Pay_Num&lt;&gt;"",Total_Pay-Int,"")</f>
        <v>0</v>
      </c>
      <c r="H106" s="33">
        <f>IF(Pay_Num&lt;&gt;"",Beg_Bal*Interest_Rate/Num_Pmt_Per_Year,"")</f>
        <v>0</v>
      </c>
      <c r="I106" s="33">
        <f>IF(AND(Pay_Num&lt;&gt;"",Sched_Pay+Extra_Pay&lt;Beg_Bal),Beg_Bal-Princ,IF(Pay_Num&lt;&gt;"",0,""))</f>
        <v>0</v>
      </c>
      <c r="J106" s="33">
        <f>SUM($H$18:$H106)</f>
        <v>264024.10073253291</v>
      </c>
    </row>
    <row r="107" spans="1:10" x14ac:dyDescent="0.3">
      <c r="A107" s="36">
        <f>IF(Values_Entered,A106+1,"")</f>
        <v>90</v>
      </c>
      <c r="B107" s="35">
        <f>IF(Pay_Num&lt;&gt;"",DATE(YEAR(Loan_Start),MONTH(Loan_Start)+(Pay_Num)*12/Num_Pmt_Per_Year,DAY(Loan_Start)),"")</f>
        <v>48122</v>
      </c>
      <c r="C107" s="33">
        <f>IF(Pay_Num&lt;&gt;"",I106,"")</f>
        <v>0</v>
      </c>
      <c r="D107" s="33">
        <f>IF(Pay_Num&lt;&gt;"",Scheduled_Monthly_Payment,"")</f>
        <v>26333.835431927764</v>
      </c>
      <c r="E107" s="34">
        <f>IF(AND(Pay_Num&lt;&gt;"",Sched_Pay+Scheduled_Extra_Payments&lt;Beg_Bal),Scheduled_Extra_Payments,IF(AND(Pay_Num&lt;&gt;"",Beg_Bal-Sched_Pay&gt;0),Beg_Bal-Sched_Pay,IF(Pay_Num&lt;&gt;"",0,"")))</f>
        <v>0</v>
      </c>
      <c r="F107" s="33">
        <f>IF(AND(Pay_Num&lt;&gt;"",Sched_Pay+Extra_Pay&lt;Beg_Bal),Sched_Pay+Extra_Pay,IF(Pay_Num&lt;&gt;"",Beg_Bal,""))</f>
        <v>0</v>
      </c>
      <c r="G107" s="33">
        <f>IF(Pay_Num&lt;&gt;"",Total_Pay-Int,"")</f>
        <v>0</v>
      </c>
      <c r="H107" s="33">
        <f>IF(Pay_Num&lt;&gt;"",Beg_Bal*Interest_Rate/Num_Pmt_Per_Year,"")</f>
        <v>0</v>
      </c>
      <c r="I107" s="33">
        <f>IF(AND(Pay_Num&lt;&gt;"",Sched_Pay+Extra_Pay&lt;Beg_Bal),Beg_Bal-Princ,IF(Pay_Num&lt;&gt;"",0,""))</f>
        <v>0</v>
      </c>
      <c r="J107" s="33">
        <f>SUM($H$18:$H107)</f>
        <v>264024.10073253291</v>
      </c>
    </row>
    <row r="108" spans="1:10" x14ac:dyDescent="0.3">
      <c r="A108" s="36">
        <f>IF(Values_Entered,A107+1,"")</f>
        <v>91</v>
      </c>
      <c r="B108" s="35">
        <f>IF(Pay_Num&lt;&gt;"",DATE(YEAR(Loan_Start),MONTH(Loan_Start)+(Pay_Num)*12/Num_Pmt_Per_Year,DAY(Loan_Start)),"")</f>
        <v>48153</v>
      </c>
      <c r="C108" s="33">
        <f>IF(Pay_Num&lt;&gt;"",I107,"")</f>
        <v>0</v>
      </c>
      <c r="D108" s="33">
        <f>IF(Pay_Num&lt;&gt;"",Scheduled_Monthly_Payment,"")</f>
        <v>26333.835431927764</v>
      </c>
      <c r="E108" s="34">
        <f>IF(AND(Pay_Num&lt;&gt;"",Sched_Pay+Scheduled_Extra_Payments&lt;Beg_Bal),Scheduled_Extra_Payments,IF(AND(Pay_Num&lt;&gt;"",Beg_Bal-Sched_Pay&gt;0),Beg_Bal-Sched_Pay,IF(Pay_Num&lt;&gt;"",0,"")))</f>
        <v>0</v>
      </c>
      <c r="F108" s="33">
        <f>IF(AND(Pay_Num&lt;&gt;"",Sched_Pay+Extra_Pay&lt;Beg_Bal),Sched_Pay+Extra_Pay,IF(Pay_Num&lt;&gt;"",Beg_Bal,""))</f>
        <v>0</v>
      </c>
      <c r="G108" s="33">
        <f>IF(Pay_Num&lt;&gt;"",Total_Pay-Int,"")</f>
        <v>0</v>
      </c>
      <c r="H108" s="33">
        <f>IF(Pay_Num&lt;&gt;"",Beg_Bal*Interest_Rate/Num_Pmt_Per_Year,"")</f>
        <v>0</v>
      </c>
      <c r="I108" s="33">
        <f>IF(AND(Pay_Num&lt;&gt;"",Sched_Pay+Extra_Pay&lt;Beg_Bal),Beg_Bal-Princ,IF(Pay_Num&lt;&gt;"",0,""))</f>
        <v>0</v>
      </c>
      <c r="J108" s="33">
        <f>SUM($H$18:$H108)</f>
        <v>264024.10073253291</v>
      </c>
    </row>
    <row r="109" spans="1:10" x14ac:dyDescent="0.3">
      <c r="A109" s="36">
        <f>IF(Values_Entered,A108+1,"")</f>
        <v>92</v>
      </c>
      <c r="B109" s="35">
        <f>IF(Pay_Num&lt;&gt;"",DATE(YEAR(Loan_Start),MONTH(Loan_Start)+(Pay_Num)*12/Num_Pmt_Per_Year,DAY(Loan_Start)),"")</f>
        <v>48183</v>
      </c>
      <c r="C109" s="33">
        <f>IF(Pay_Num&lt;&gt;"",I108,"")</f>
        <v>0</v>
      </c>
      <c r="D109" s="33">
        <f>IF(Pay_Num&lt;&gt;"",Scheduled_Monthly_Payment,"")</f>
        <v>26333.835431927764</v>
      </c>
      <c r="E109" s="34">
        <f>IF(AND(Pay_Num&lt;&gt;"",Sched_Pay+Scheduled_Extra_Payments&lt;Beg_Bal),Scheduled_Extra_Payments,IF(AND(Pay_Num&lt;&gt;"",Beg_Bal-Sched_Pay&gt;0),Beg_Bal-Sched_Pay,IF(Pay_Num&lt;&gt;"",0,"")))</f>
        <v>0</v>
      </c>
      <c r="F109" s="33">
        <f>IF(AND(Pay_Num&lt;&gt;"",Sched_Pay+Extra_Pay&lt;Beg_Bal),Sched_Pay+Extra_Pay,IF(Pay_Num&lt;&gt;"",Beg_Bal,""))</f>
        <v>0</v>
      </c>
      <c r="G109" s="33">
        <f>IF(Pay_Num&lt;&gt;"",Total_Pay-Int,"")</f>
        <v>0</v>
      </c>
      <c r="H109" s="33">
        <f>IF(Pay_Num&lt;&gt;"",Beg_Bal*Interest_Rate/Num_Pmt_Per_Year,"")</f>
        <v>0</v>
      </c>
      <c r="I109" s="33">
        <f>IF(AND(Pay_Num&lt;&gt;"",Sched_Pay+Extra_Pay&lt;Beg_Bal),Beg_Bal-Princ,IF(Pay_Num&lt;&gt;"",0,""))</f>
        <v>0</v>
      </c>
      <c r="J109" s="33">
        <f>SUM($H$18:$H109)</f>
        <v>264024.10073253291</v>
      </c>
    </row>
    <row r="110" spans="1:10" x14ac:dyDescent="0.3">
      <c r="A110" s="36">
        <f>IF(Values_Entered,A109+1,"")</f>
        <v>93</v>
      </c>
      <c r="B110" s="35">
        <f>IF(Pay_Num&lt;&gt;"",DATE(YEAR(Loan_Start),MONTH(Loan_Start)+(Pay_Num)*12/Num_Pmt_Per_Year,DAY(Loan_Start)),"")</f>
        <v>48214</v>
      </c>
      <c r="C110" s="33">
        <f>IF(Pay_Num&lt;&gt;"",I109,"")</f>
        <v>0</v>
      </c>
      <c r="D110" s="33">
        <f>IF(Pay_Num&lt;&gt;"",Scheduled_Monthly_Payment,"")</f>
        <v>26333.835431927764</v>
      </c>
      <c r="E110" s="34">
        <f>IF(AND(Pay_Num&lt;&gt;"",Sched_Pay+Scheduled_Extra_Payments&lt;Beg_Bal),Scheduled_Extra_Payments,IF(AND(Pay_Num&lt;&gt;"",Beg_Bal-Sched_Pay&gt;0),Beg_Bal-Sched_Pay,IF(Pay_Num&lt;&gt;"",0,"")))</f>
        <v>0</v>
      </c>
      <c r="F110" s="33">
        <f>IF(AND(Pay_Num&lt;&gt;"",Sched_Pay+Extra_Pay&lt;Beg_Bal),Sched_Pay+Extra_Pay,IF(Pay_Num&lt;&gt;"",Beg_Bal,""))</f>
        <v>0</v>
      </c>
      <c r="G110" s="33">
        <f>IF(Pay_Num&lt;&gt;"",Total_Pay-Int,"")</f>
        <v>0</v>
      </c>
      <c r="H110" s="33">
        <f>IF(Pay_Num&lt;&gt;"",Beg_Bal*Interest_Rate/Num_Pmt_Per_Year,"")</f>
        <v>0</v>
      </c>
      <c r="I110" s="33">
        <f>IF(AND(Pay_Num&lt;&gt;"",Sched_Pay+Extra_Pay&lt;Beg_Bal),Beg_Bal-Princ,IF(Pay_Num&lt;&gt;"",0,""))</f>
        <v>0</v>
      </c>
      <c r="J110" s="33">
        <f>SUM($H$18:$H110)</f>
        <v>264024.10073253291</v>
      </c>
    </row>
    <row r="111" spans="1:10" x14ac:dyDescent="0.3">
      <c r="A111" s="36">
        <f>IF(Values_Entered,A110+1,"")</f>
        <v>94</v>
      </c>
      <c r="B111" s="35">
        <f>IF(Pay_Num&lt;&gt;"",DATE(YEAR(Loan_Start),MONTH(Loan_Start)+(Pay_Num)*12/Num_Pmt_Per_Year,DAY(Loan_Start)),"")</f>
        <v>48245</v>
      </c>
      <c r="C111" s="33">
        <f>IF(Pay_Num&lt;&gt;"",I110,"")</f>
        <v>0</v>
      </c>
      <c r="D111" s="33">
        <f>IF(Pay_Num&lt;&gt;"",Scheduled_Monthly_Payment,"")</f>
        <v>26333.835431927764</v>
      </c>
      <c r="E111" s="34">
        <f>IF(AND(Pay_Num&lt;&gt;"",Sched_Pay+Scheduled_Extra_Payments&lt;Beg_Bal),Scheduled_Extra_Payments,IF(AND(Pay_Num&lt;&gt;"",Beg_Bal-Sched_Pay&gt;0),Beg_Bal-Sched_Pay,IF(Pay_Num&lt;&gt;"",0,"")))</f>
        <v>0</v>
      </c>
      <c r="F111" s="33">
        <f>IF(AND(Pay_Num&lt;&gt;"",Sched_Pay+Extra_Pay&lt;Beg_Bal),Sched_Pay+Extra_Pay,IF(Pay_Num&lt;&gt;"",Beg_Bal,""))</f>
        <v>0</v>
      </c>
      <c r="G111" s="33">
        <f>IF(Pay_Num&lt;&gt;"",Total_Pay-Int,"")</f>
        <v>0</v>
      </c>
      <c r="H111" s="33">
        <f>IF(Pay_Num&lt;&gt;"",Beg_Bal*Interest_Rate/Num_Pmt_Per_Year,"")</f>
        <v>0</v>
      </c>
      <c r="I111" s="33">
        <f>IF(AND(Pay_Num&lt;&gt;"",Sched_Pay+Extra_Pay&lt;Beg_Bal),Beg_Bal-Princ,IF(Pay_Num&lt;&gt;"",0,""))</f>
        <v>0</v>
      </c>
      <c r="J111" s="33">
        <f>SUM($H$18:$H111)</f>
        <v>264024.10073253291</v>
      </c>
    </row>
    <row r="112" spans="1:10" x14ac:dyDescent="0.3">
      <c r="A112" s="36">
        <f>IF(Values_Entered,A111+1,"")</f>
        <v>95</v>
      </c>
      <c r="B112" s="35">
        <f>IF(Pay_Num&lt;&gt;"",DATE(YEAR(Loan_Start),MONTH(Loan_Start)+(Pay_Num)*12/Num_Pmt_Per_Year,DAY(Loan_Start)),"")</f>
        <v>48274</v>
      </c>
      <c r="C112" s="33">
        <f>IF(Pay_Num&lt;&gt;"",I111,"")</f>
        <v>0</v>
      </c>
      <c r="D112" s="33">
        <f>IF(Pay_Num&lt;&gt;"",Scheduled_Monthly_Payment,"")</f>
        <v>26333.835431927764</v>
      </c>
      <c r="E112" s="34">
        <f>IF(AND(Pay_Num&lt;&gt;"",Sched_Pay+Scheduled_Extra_Payments&lt;Beg_Bal),Scheduled_Extra_Payments,IF(AND(Pay_Num&lt;&gt;"",Beg_Bal-Sched_Pay&gt;0),Beg_Bal-Sched_Pay,IF(Pay_Num&lt;&gt;"",0,"")))</f>
        <v>0</v>
      </c>
      <c r="F112" s="33">
        <f>IF(AND(Pay_Num&lt;&gt;"",Sched_Pay+Extra_Pay&lt;Beg_Bal),Sched_Pay+Extra_Pay,IF(Pay_Num&lt;&gt;"",Beg_Bal,""))</f>
        <v>0</v>
      </c>
      <c r="G112" s="33">
        <f>IF(Pay_Num&lt;&gt;"",Total_Pay-Int,"")</f>
        <v>0</v>
      </c>
      <c r="H112" s="33">
        <f>IF(Pay_Num&lt;&gt;"",Beg_Bal*Interest_Rate/Num_Pmt_Per_Year,"")</f>
        <v>0</v>
      </c>
      <c r="I112" s="33">
        <f>IF(AND(Pay_Num&lt;&gt;"",Sched_Pay+Extra_Pay&lt;Beg_Bal),Beg_Bal-Princ,IF(Pay_Num&lt;&gt;"",0,""))</f>
        <v>0</v>
      </c>
      <c r="J112" s="33">
        <f>SUM($H$18:$H112)</f>
        <v>264024.10073253291</v>
      </c>
    </row>
    <row r="113" spans="1:10" x14ac:dyDescent="0.3">
      <c r="A113" s="36">
        <f>IF(Values_Entered,A112+1,"")</f>
        <v>96</v>
      </c>
      <c r="B113" s="35">
        <f>IF(Pay_Num&lt;&gt;"",DATE(YEAR(Loan_Start),MONTH(Loan_Start)+(Pay_Num)*12/Num_Pmt_Per_Year,DAY(Loan_Start)),"")</f>
        <v>48305</v>
      </c>
      <c r="C113" s="33">
        <f>IF(Pay_Num&lt;&gt;"",I112,"")</f>
        <v>0</v>
      </c>
      <c r="D113" s="33">
        <f>IF(Pay_Num&lt;&gt;"",Scheduled_Monthly_Payment,"")</f>
        <v>26333.835431927764</v>
      </c>
      <c r="E113" s="34">
        <f>IF(AND(Pay_Num&lt;&gt;"",Sched_Pay+Scheduled_Extra_Payments&lt;Beg_Bal),Scheduled_Extra_Payments,IF(AND(Pay_Num&lt;&gt;"",Beg_Bal-Sched_Pay&gt;0),Beg_Bal-Sched_Pay,IF(Pay_Num&lt;&gt;"",0,"")))</f>
        <v>0</v>
      </c>
      <c r="F113" s="33">
        <f>IF(AND(Pay_Num&lt;&gt;"",Sched_Pay+Extra_Pay&lt;Beg_Bal),Sched_Pay+Extra_Pay,IF(Pay_Num&lt;&gt;"",Beg_Bal,""))</f>
        <v>0</v>
      </c>
      <c r="G113" s="33">
        <f>IF(Pay_Num&lt;&gt;"",Total_Pay-Int,"")</f>
        <v>0</v>
      </c>
      <c r="H113" s="33">
        <f>IF(Pay_Num&lt;&gt;"",Beg_Bal*Interest_Rate/Num_Pmt_Per_Year,"")</f>
        <v>0</v>
      </c>
      <c r="I113" s="33">
        <f>IF(AND(Pay_Num&lt;&gt;"",Sched_Pay+Extra_Pay&lt;Beg_Bal),Beg_Bal-Princ,IF(Pay_Num&lt;&gt;"",0,""))</f>
        <v>0</v>
      </c>
      <c r="J113" s="33">
        <f>SUM($H$18:$H113)</f>
        <v>264024.10073253291</v>
      </c>
    </row>
    <row r="114" spans="1:10" x14ac:dyDescent="0.3">
      <c r="A114" s="36">
        <f>IF(Values_Entered,A113+1,"")</f>
        <v>97</v>
      </c>
      <c r="B114" s="35">
        <f>IF(Pay_Num&lt;&gt;"",DATE(YEAR(Loan_Start),MONTH(Loan_Start)+(Pay_Num)*12/Num_Pmt_Per_Year,DAY(Loan_Start)),"")</f>
        <v>48335</v>
      </c>
      <c r="C114" s="33">
        <f>IF(Pay_Num&lt;&gt;"",I113,"")</f>
        <v>0</v>
      </c>
      <c r="D114" s="33">
        <f>IF(Pay_Num&lt;&gt;"",Scheduled_Monthly_Payment,"")</f>
        <v>26333.835431927764</v>
      </c>
      <c r="E114" s="34">
        <f>IF(AND(Pay_Num&lt;&gt;"",Sched_Pay+Scheduled_Extra_Payments&lt;Beg_Bal),Scheduled_Extra_Payments,IF(AND(Pay_Num&lt;&gt;"",Beg_Bal-Sched_Pay&gt;0),Beg_Bal-Sched_Pay,IF(Pay_Num&lt;&gt;"",0,"")))</f>
        <v>0</v>
      </c>
      <c r="F114" s="33">
        <f>IF(AND(Pay_Num&lt;&gt;"",Sched_Pay+Extra_Pay&lt;Beg_Bal),Sched_Pay+Extra_Pay,IF(Pay_Num&lt;&gt;"",Beg_Bal,""))</f>
        <v>0</v>
      </c>
      <c r="G114" s="33">
        <f>IF(Pay_Num&lt;&gt;"",Total_Pay-Int,"")</f>
        <v>0</v>
      </c>
      <c r="H114" s="33">
        <f>IF(Pay_Num&lt;&gt;"",Beg_Bal*Interest_Rate/Num_Pmt_Per_Year,"")</f>
        <v>0</v>
      </c>
      <c r="I114" s="33">
        <f>IF(AND(Pay_Num&lt;&gt;"",Sched_Pay+Extra_Pay&lt;Beg_Bal),Beg_Bal-Princ,IF(Pay_Num&lt;&gt;"",0,""))</f>
        <v>0</v>
      </c>
      <c r="J114" s="33">
        <f>SUM($H$18:$H114)</f>
        <v>264024.10073253291</v>
      </c>
    </row>
    <row r="115" spans="1:10" x14ac:dyDescent="0.3">
      <c r="A115" s="36">
        <f>IF(Values_Entered,A114+1,"")</f>
        <v>98</v>
      </c>
      <c r="B115" s="35">
        <f>IF(Pay_Num&lt;&gt;"",DATE(YEAR(Loan_Start),MONTH(Loan_Start)+(Pay_Num)*12/Num_Pmt_Per_Year,DAY(Loan_Start)),"")</f>
        <v>48366</v>
      </c>
      <c r="C115" s="33">
        <f>IF(Pay_Num&lt;&gt;"",I114,"")</f>
        <v>0</v>
      </c>
      <c r="D115" s="33">
        <f>IF(Pay_Num&lt;&gt;"",Scheduled_Monthly_Payment,"")</f>
        <v>26333.835431927764</v>
      </c>
      <c r="E115" s="34">
        <f>IF(AND(Pay_Num&lt;&gt;"",Sched_Pay+Scheduled_Extra_Payments&lt;Beg_Bal),Scheduled_Extra_Payments,IF(AND(Pay_Num&lt;&gt;"",Beg_Bal-Sched_Pay&gt;0),Beg_Bal-Sched_Pay,IF(Pay_Num&lt;&gt;"",0,"")))</f>
        <v>0</v>
      </c>
      <c r="F115" s="33">
        <f>IF(AND(Pay_Num&lt;&gt;"",Sched_Pay+Extra_Pay&lt;Beg_Bal),Sched_Pay+Extra_Pay,IF(Pay_Num&lt;&gt;"",Beg_Bal,""))</f>
        <v>0</v>
      </c>
      <c r="G115" s="33">
        <f>IF(Pay_Num&lt;&gt;"",Total_Pay-Int,"")</f>
        <v>0</v>
      </c>
      <c r="H115" s="33">
        <f>IF(Pay_Num&lt;&gt;"",Beg_Bal*Interest_Rate/Num_Pmt_Per_Year,"")</f>
        <v>0</v>
      </c>
      <c r="I115" s="33">
        <f>IF(AND(Pay_Num&lt;&gt;"",Sched_Pay+Extra_Pay&lt;Beg_Bal),Beg_Bal-Princ,IF(Pay_Num&lt;&gt;"",0,""))</f>
        <v>0</v>
      </c>
      <c r="J115" s="33">
        <f>SUM($H$18:$H115)</f>
        <v>264024.10073253291</v>
      </c>
    </row>
    <row r="116" spans="1:10" x14ac:dyDescent="0.3">
      <c r="A116" s="36">
        <f>IF(Values_Entered,A115+1,"")</f>
        <v>99</v>
      </c>
      <c r="B116" s="35">
        <f>IF(Pay_Num&lt;&gt;"",DATE(YEAR(Loan_Start),MONTH(Loan_Start)+(Pay_Num)*12/Num_Pmt_Per_Year,DAY(Loan_Start)),"")</f>
        <v>48396</v>
      </c>
      <c r="C116" s="33">
        <f>IF(Pay_Num&lt;&gt;"",I115,"")</f>
        <v>0</v>
      </c>
      <c r="D116" s="33">
        <f>IF(Pay_Num&lt;&gt;"",Scheduled_Monthly_Payment,"")</f>
        <v>26333.835431927764</v>
      </c>
      <c r="E116" s="34">
        <f>IF(AND(Pay_Num&lt;&gt;"",Sched_Pay+Scheduled_Extra_Payments&lt;Beg_Bal),Scheduled_Extra_Payments,IF(AND(Pay_Num&lt;&gt;"",Beg_Bal-Sched_Pay&gt;0),Beg_Bal-Sched_Pay,IF(Pay_Num&lt;&gt;"",0,"")))</f>
        <v>0</v>
      </c>
      <c r="F116" s="33">
        <f>IF(AND(Pay_Num&lt;&gt;"",Sched_Pay+Extra_Pay&lt;Beg_Bal),Sched_Pay+Extra_Pay,IF(Pay_Num&lt;&gt;"",Beg_Bal,""))</f>
        <v>0</v>
      </c>
      <c r="G116" s="33">
        <f>IF(Pay_Num&lt;&gt;"",Total_Pay-Int,"")</f>
        <v>0</v>
      </c>
      <c r="H116" s="33">
        <f>IF(Pay_Num&lt;&gt;"",Beg_Bal*Interest_Rate/Num_Pmt_Per_Year,"")</f>
        <v>0</v>
      </c>
      <c r="I116" s="33">
        <f>IF(AND(Pay_Num&lt;&gt;"",Sched_Pay+Extra_Pay&lt;Beg_Bal),Beg_Bal-Princ,IF(Pay_Num&lt;&gt;"",0,""))</f>
        <v>0</v>
      </c>
      <c r="J116" s="33">
        <f>SUM($H$18:$H116)</f>
        <v>264024.10073253291</v>
      </c>
    </row>
    <row r="117" spans="1:10" x14ac:dyDescent="0.3">
      <c r="A117" s="36">
        <f>IF(Values_Entered,A116+1,"")</f>
        <v>100</v>
      </c>
      <c r="B117" s="35">
        <f>IF(Pay_Num&lt;&gt;"",DATE(YEAR(Loan_Start),MONTH(Loan_Start)+(Pay_Num)*12/Num_Pmt_Per_Year,DAY(Loan_Start)),"")</f>
        <v>48427</v>
      </c>
      <c r="C117" s="33">
        <f>IF(Pay_Num&lt;&gt;"",I116,"")</f>
        <v>0</v>
      </c>
      <c r="D117" s="33">
        <f>IF(Pay_Num&lt;&gt;"",Scheduled_Monthly_Payment,"")</f>
        <v>26333.835431927764</v>
      </c>
      <c r="E117" s="34">
        <f>IF(AND(Pay_Num&lt;&gt;"",Sched_Pay+Scheduled_Extra_Payments&lt;Beg_Bal),Scheduled_Extra_Payments,IF(AND(Pay_Num&lt;&gt;"",Beg_Bal-Sched_Pay&gt;0),Beg_Bal-Sched_Pay,IF(Pay_Num&lt;&gt;"",0,"")))</f>
        <v>0</v>
      </c>
      <c r="F117" s="33">
        <f>IF(AND(Pay_Num&lt;&gt;"",Sched_Pay+Extra_Pay&lt;Beg_Bal),Sched_Pay+Extra_Pay,IF(Pay_Num&lt;&gt;"",Beg_Bal,""))</f>
        <v>0</v>
      </c>
      <c r="G117" s="33">
        <f>IF(Pay_Num&lt;&gt;"",Total_Pay-Int,"")</f>
        <v>0</v>
      </c>
      <c r="H117" s="33">
        <f>IF(Pay_Num&lt;&gt;"",Beg_Bal*Interest_Rate/Num_Pmt_Per_Year,"")</f>
        <v>0</v>
      </c>
      <c r="I117" s="33">
        <f>IF(AND(Pay_Num&lt;&gt;"",Sched_Pay+Extra_Pay&lt;Beg_Bal),Beg_Bal-Princ,IF(Pay_Num&lt;&gt;"",0,""))</f>
        <v>0</v>
      </c>
      <c r="J117" s="33">
        <f>SUM($H$18:$H117)</f>
        <v>264024.10073253291</v>
      </c>
    </row>
    <row r="118" spans="1:10" x14ac:dyDescent="0.3">
      <c r="A118" s="36">
        <f>IF(Values_Entered,A117+1,"")</f>
        <v>101</v>
      </c>
      <c r="B118" s="35">
        <f>IF(Pay_Num&lt;&gt;"",DATE(YEAR(Loan_Start),MONTH(Loan_Start)+(Pay_Num)*12/Num_Pmt_Per_Year,DAY(Loan_Start)),"")</f>
        <v>48458</v>
      </c>
      <c r="C118" s="33">
        <f>IF(Pay_Num&lt;&gt;"",I117,"")</f>
        <v>0</v>
      </c>
      <c r="D118" s="33">
        <f>IF(Pay_Num&lt;&gt;"",Scheduled_Monthly_Payment,"")</f>
        <v>26333.835431927764</v>
      </c>
      <c r="E118" s="34">
        <f>IF(AND(Pay_Num&lt;&gt;"",Sched_Pay+Scheduled_Extra_Payments&lt;Beg_Bal),Scheduled_Extra_Payments,IF(AND(Pay_Num&lt;&gt;"",Beg_Bal-Sched_Pay&gt;0),Beg_Bal-Sched_Pay,IF(Pay_Num&lt;&gt;"",0,"")))</f>
        <v>0</v>
      </c>
      <c r="F118" s="33">
        <f>IF(AND(Pay_Num&lt;&gt;"",Sched_Pay+Extra_Pay&lt;Beg_Bal),Sched_Pay+Extra_Pay,IF(Pay_Num&lt;&gt;"",Beg_Bal,""))</f>
        <v>0</v>
      </c>
      <c r="G118" s="33">
        <f>IF(Pay_Num&lt;&gt;"",Total_Pay-Int,"")</f>
        <v>0</v>
      </c>
      <c r="H118" s="33">
        <f>IF(Pay_Num&lt;&gt;"",Beg_Bal*Interest_Rate/Num_Pmt_Per_Year,"")</f>
        <v>0</v>
      </c>
      <c r="I118" s="33">
        <f>IF(AND(Pay_Num&lt;&gt;"",Sched_Pay+Extra_Pay&lt;Beg_Bal),Beg_Bal-Princ,IF(Pay_Num&lt;&gt;"",0,""))</f>
        <v>0</v>
      </c>
      <c r="J118" s="33">
        <f>SUM($H$18:$H118)</f>
        <v>264024.10073253291</v>
      </c>
    </row>
    <row r="119" spans="1:10" x14ac:dyDescent="0.3">
      <c r="A119" s="36">
        <f>IF(Values_Entered,A118+1,"")</f>
        <v>102</v>
      </c>
      <c r="B119" s="35">
        <f>IF(Pay_Num&lt;&gt;"",DATE(YEAR(Loan_Start),MONTH(Loan_Start)+(Pay_Num)*12/Num_Pmt_Per_Year,DAY(Loan_Start)),"")</f>
        <v>48488</v>
      </c>
      <c r="C119" s="33">
        <f>IF(Pay_Num&lt;&gt;"",I118,"")</f>
        <v>0</v>
      </c>
      <c r="D119" s="33">
        <f>IF(Pay_Num&lt;&gt;"",Scheduled_Monthly_Payment,"")</f>
        <v>26333.835431927764</v>
      </c>
      <c r="E119" s="34">
        <f>IF(AND(Pay_Num&lt;&gt;"",Sched_Pay+Scheduled_Extra_Payments&lt;Beg_Bal),Scheduled_Extra_Payments,IF(AND(Pay_Num&lt;&gt;"",Beg_Bal-Sched_Pay&gt;0),Beg_Bal-Sched_Pay,IF(Pay_Num&lt;&gt;"",0,"")))</f>
        <v>0</v>
      </c>
      <c r="F119" s="33">
        <f>IF(AND(Pay_Num&lt;&gt;"",Sched_Pay+Extra_Pay&lt;Beg_Bal),Sched_Pay+Extra_Pay,IF(Pay_Num&lt;&gt;"",Beg_Bal,""))</f>
        <v>0</v>
      </c>
      <c r="G119" s="33">
        <f>IF(Pay_Num&lt;&gt;"",Total_Pay-Int,"")</f>
        <v>0</v>
      </c>
      <c r="H119" s="33">
        <f>IF(Pay_Num&lt;&gt;"",Beg_Bal*Interest_Rate/Num_Pmt_Per_Year,"")</f>
        <v>0</v>
      </c>
      <c r="I119" s="33">
        <f>IF(AND(Pay_Num&lt;&gt;"",Sched_Pay+Extra_Pay&lt;Beg_Bal),Beg_Bal-Princ,IF(Pay_Num&lt;&gt;"",0,""))</f>
        <v>0</v>
      </c>
      <c r="J119" s="33">
        <f>SUM($H$18:$H119)</f>
        <v>264024.10073253291</v>
      </c>
    </row>
    <row r="120" spans="1:10" x14ac:dyDescent="0.3">
      <c r="A120" s="36">
        <f>IF(Values_Entered,A119+1,"")</f>
        <v>103</v>
      </c>
      <c r="B120" s="35">
        <f>IF(Pay_Num&lt;&gt;"",DATE(YEAR(Loan_Start),MONTH(Loan_Start)+(Pay_Num)*12/Num_Pmt_Per_Year,DAY(Loan_Start)),"")</f>
        <v>48519</v>
      </c>
      <c r="C120" s="33">
        <f>IF(Pay_Num&lt;&gt;"",I119,"")</f>
        <v>0</v>
      </c>
      <c r="D120" s="33">
        <f>IF(Pay_Num&lt;&gt;"",Scheduled_Monthly_Payment,"")</f>
        <v>26333.835431927764</v>
      </c>
      <c r="E120" s="34">
        <f>IF(AND(Pay_Num&lt;&gt;"",Sched_Pay+Scheduled_Extra_Payments&lt;Beg_Bal),Scheduled_Extra_Payments,IF(AND(Pay_Num&lt;&gt;"",Beg_Bal-Sched_Pay&gt;0),Beg_Bal-Sched_Pay,IF(Pay_Num&lt;&gt;"",0,"")))</f>
        <v>0</v>
      </c>
      <c r="F120" s="33">
        <f>IF(AND(Pay_Num&lt;&gt;"",Sched_Pay+Extra_Pay&lt;Beg_Bal),Sched_Pay+Extra_Pay,IF(Pay_Num&lt;&gt;"",Beg_Bal,""))</f>
        <v>0</v>
      </c>
      <c r="G120" s="33">
        <f>IF(Pay_Num&lt;&gt;"",Total_Pay-Int,"")</f>
        <v>0</v>
      </c>
      <c r="H120" s="33">
        <f>IF(Pay_Num&lt;&gt;"",Beg_Bal*Interest_Rate/Num_Pmt_Per_Year,"")</f>
        <v>0</v>
      </c>
      <c r="I120" s="33">
        <f>IF(AND(Pay_Num&lt;&gt;"",Sched_Pay+Extra_Pay&lt;Beg_Bal),Beg_Bal-Princ,IF(Pay_Num&lt;&gt;"",0,""))</f>
        <v>0</v>
      </c>
      <c r="J120" s="33">
        <f>SUM($H$18:$H120)</f>
        <v>264024.10073253291</v>
      </c>
    </row>
    <row r="121" spans="1:10" x14ac:dyDescent="0.3">
      <c r="A121" s="36">
        <f>IF(Values_Entered,A120+1,"")</f>
        <v>104</v>
      </c>
      <c r="B121" s="35">
        <f>IF(Pay_Num&lt;&gt;"",DATE(YEAR(Loan_Start),MONTH(Loan_Start)+(Pay_Num)*12/Num_Pmt_Per_Year,DAY(Loan_Start)),"")</f>
        <v>48549</v>
      </c>
      <c r="C121" s="33">
        <f>IF(Pay_Num&lt;&gt;"",I120,"")</f>
        <v>0</v>
      </c>
      <c r="D121" s="33">
        <f>IF(Pay_Num&lt;&gt;"",Scheduled_Monthly_Payment,"")</f>
        <v>26333.835431927764</v>
      </c>
      <c r="E121" s="34">
        <f>IF(AND(Pay_Num&lt;&gt;"",Sched_Pay+Scheduled_Extra_Payments&lt;Beg_Bal),Scheduled_Extra_Payments,IF(AND(Pay_Num&lt;&gt;"",Beg_Bal-Sched_Pay&gt;0),Beg_Bal-Sched_Pay,IF(Pay_Num&lt;&gt;"",0,"")))</f>
        <v>0</v>
      </c>
      <c r="F121" s="33">
        <f>IF(AND(Pay_Num&lt;&gt;"",Sched_Pay+Extra_Pay&lt;Beg_Bal),Sched_Pay+Extra_Pay,IF(Pay_Num&lt;&gt;"",Beg_Bal,""))</f>
        <v>0</v>
      </c>
      <c r="G121" s="33">
        <f>IF(Pay_Num&lt;&gt;"",Total_Pay-Int,"")</f>
        <v>0</v>
      </c>
      <c r="H121" s="33">
        <f>IF(Pay_Num&lt;&gt;"",Beg_Bal*Interest_Rate/Num_Pmt_Per_Year,"")</f>
        <v>0</v>
      </c>
      <c r="I121" s="33">
        <f>IF(AND(Pay_Num&lt;&gt;"",Sched_Pay+Extra_Pay&lt;Beg_Bal),Beg_Bal-Princ,IF(Pay_Num&lt;&gt;"",0,""))</f>
        <v>0</v>
      </c>
      <c r="J121" s="33">
        <f>SUM($H$18:$H121)</f>
        <v>264024.10073253291</v>
      </c>
    </row>
    <row r="122" spans="1:10" x14ac:dyDescent="0.3">
      <c r="A122" s="36">
        <f>IF(Values_Entered,A121+1,"")</f>
        <v>105</v>
      </c>
      <c r="B122" s="35">
        <f>IF(Pay_Num&lt;&gt;"",DATE(YEAR(Loan_Start),MONTH(Loan_Start)+(Pay_Num)*12/Num_Pmt_Per_Year,DAY(Loan_Start)),"")</f>
        <v>48580</v>
      </c>
      <c r="C122" s="33">
        <f>IF(Pay_Num&lt;&gt;"",I121,"")</f>
        <v>0</v>
      </c>
      <c r="D122" s="33">
        <f>IF(Pay_Num&lt;&gt;"",Scheduled_Monthly_Payment,"")</f>
        <v>26333.835431927764</v>
      </c>
      <c r="E122" s="34">
        <f>IF(AND(Pay_Num&lt;&gt;"",Sched_Pay+Scheduled_Extra_Payments&lt;Beg_Bal),Scheduled_Extra_Payments,IF(AND(Pay_Num&lt;&gt;"",Beg_Bal-Sched_Pay&gt;0),Beg_Bal-Sched_Pay,IF(Pay_Num&lt;&gt;"",0,"")))</f>
        <v>0</v>
      </c>
      <c r="F122" s="33">
        <f>IF(AND(Pay_Num&lt;&gt;"",Sched_Pay+Extra_Pay&lt;Beg_Bal),Sched_Pay+Extra_Pay,IF(Pay_Num&lt;&gt;"",Beg_Bal,""))</f>
        <v>0</v>
      </c>
      <c r="G122" s="33">
        <f>IF(Pay_Num&lt;&gt;"",Total_Pay-Int,"")</f>
        <v>0</v>
      </c>
      <c r="H122" s="33">
        <f>IF(Pay_Num&lt;&gt;"",Beg_Bal*Interest_Rate/Num_Pmt_Per_Year,"")</f>
        <v>0</v>
      </c>
      <c r="I122" s="33">
        <f>IF(AND(Pay_Num&lt;&gt;"",Sched_Pay+Extra_Pay&lt;Beg_Bal),Beg_Bal-Princ,IF(Pay_Num&lt;&gt;"",0,""))</f>
        <v>0</v>
      </c>
      <c r="J122" s="33">
        <f>SUM($H$18:$H122)</f>
        <v>264024.10073253291</v>
      </c>
    </row>
    <row r="123" spans="1:10" x14ac:dyDescent="0.3">
      <c r="A123" s="36">
        <f>IF(Values_Entered,A122+1,"")</f>
        <v>106</v>
      </c>
      <c r="B123" s="35">
        <f>IF(Pay_Num&lt;&gt;"",DATE(YEAR(Loan_Start),MONTH(Loan_Start)+(Pay_Num)*12/Num_Pmt_Per_Year,DAY(Loan_Start)),"")</f>
        <v>48611</v>
      </c>
      <c r="C123" s="33">
        <f>IF(Pay_Num&lt;&gt;"",I122,"")</f>
        <v>0</v>
      </c>
      <c r="D123" s="33">
        <f>IF(Pay_Num&lt;&gt;"",Scheduled_Monthly_Payment,"")</f>
        <v>26333.835431927764</v>
      </c>
      <c r="E123" s="34">
        <f>IF(AND(Pay_Num&lt;&gt;"",Sched_Pay+Scheduled_Extra_Payments&lt;Beg_Bal),Scheduled_Extra_Payments,IF(AND(Pay_Num&lt;&gt;"",Beg_Bal-Sched_Pay&gt;0),Beg_Bal-Sched_Pay,IF(Pay_Num&lt;&gt;"",0,"")))</f>
        <v>0</v>
      </c>
      <c r="F123" s="33">
        <f>IF(AND(Pay_Num&lt;&gt;"",Sched_Pay+Extra_Pay&lt;Beg_Bal),Sched_Pay+Extra_Pay,IF(Pay_Num&lt;&gt;"",Beg_Bal,""))</f>
        <v>0</v>
      </c>
      <c r="G123" s="33">
        <f>IF(Pay_Num&lt;&gt;"",Total_Pay-Int,"")</f>
        <v>0</v>
      </c>
      <c r="H123" s="33">
        <f>IF(Pay_Num&lt;&gt;"",Beg_Bal*Interest_Rate/Num_Pmt_Per_Year,"")</f>
        <v>0</v>
      </c>
      <c r="I123" s="33">
        <f>IF(AND(Pay_Num&lt;&gt;"",Sched_Pay+Extra_Pay&lt;Beg_Bal),Beg_Bal-Princ,IF(Pay_Num&lt;&gt;"",0,""))</f>
        <v>0</v>
      </c>
      <c r="J123" s="33">
        <f>SUM($H$18:$H123)</f>
        <v>264024.10073253291</v>
      </c>
    </row>
    <row r="124" spans="1:10" x14ac:dyDescent="0.3">
      <c r="A124" s="36">
        <f>IF(Values_Entered,A123+1,"")</f>
        <v>107</v>
      </c>
      <c r="B124" s="35">
        <f>IF(Pay_Num&lt;&gt;"",DATE(YEAR(Loan_Start),MONTH(Loan_Start)+(Pay_Num)*12/Num_Pmt_Per_Year,DAY(Loan_Start)),"")</f>
        <v>48639</v>
      </c>
      <c r="C124" s="33">
        <f>IF(Pay_Num&lt;&gt;"",I123,"")</f>
        <v>0</v>
      </c>
      <c r="D124" s="33">
        <f>IF(Pay_Num&lt;&gt;"",Scheduled_Monthly_Payment,"")</f>
        <v>26333.835431927764</v>
      </c>
      <c r="E124" s="34">
        <f>IF(AND(Pay_Num&lt;&gt;"",Sched_Pay+Scheduled_Extra_Payments&lt;Beg_Bal),Scheduled_Extra_Payments,IF(AND(Pay_Num&lt;&gt;"",Beg_Bal-Sched_Pay&gt;0),Beg_Bal-Sched_Pay,IF(Pay_Num&lt;&gt;"",0,"")))</f>
        <v>0</v>
      </c>
      <c r="F124" s="33">
        <f>IF(AND(Pay_Num&lt;&gt;"",Sched_Pay+Extra_Pay&lt;Beg_Bal),Sched_Pay+Extra_Pay,IF(Pay_Num&lt;&gt;"",Beg_Bal,""))</f>
        <v>0</v>
      </c>
      <c r="G124" s="33">
        <f>IF(Pay_Num&lt;&gt;"",Total_Pay-Int,"")</f>
        <v>0</v>
      </c>
      <c r="H124" s="33">
        <f>IF(Pay_Num&lt;&gt;"",Beg_Bal*Interest_Rate/Num_Pmt_Per_Year,"")</f>
        <v>0</v>
      </c>
      <c r="I124" s="33">
        <f>IF(AND(Pay_Num&lt;&gt;"",Sched_Pay+Extra_Pay&lt;Beg_Bal),Beg_Bal-Princ,IF(Pay_Num&lt;&gt;"",0,""))</f>
        <v>0</v>
      </c>
      <c r="J124" s="33">
        <f>SUM($H$18:$H124)</f>
        <v>264024.10073253291</v>
      </c>
    </row>
    <row r="125" spans="1:10" x14ac:dyDescent="0.3">
      <c r="A125" s="36">
        <f>IF(Values_Entered,A124+1,"")</f>
        <v>108</v>
      </c>
      <c r="B125" s="35">
        <f>IF(Pay_Num&lt;&gt;"",DATE(YEAR(Loan_Start),MONTH(Loan_Start)+(Pay_Num)*12/Num_Pmt_Per_Year,DAY(Loan_Start)),"")</f>
        <v>48670</v>
      </c>
      <c r="C125" s="33">
        <f>IF(Pay_Num&lt;&gt;"",I124,"")</f>
        <v>0</v>
      </c>
      <c r="D125" s="33">
        <f>IF(Pay_Num&lt;&gt;"",Scheduled_Monthly_Payment,"")</f>
        <v>26333.835431927764</v>
      </c>
      <c r="E125" s="34">
        <f>IF(AND(Pay_Num&lt;&gt;"",Sched_Pay+Scheduled_Extra_Payments&lt;Beg_Bal),Scheduled_Extra_Payments,IF(AND(Pay_Num&lt;&gt;"",Beg_Bal-Sched_Pay&gt;0),Beg_Bal-Sched_Pay,IF(Pay_Num&lt;&gt;"",0,"")))</f>
        <v>0</v>
      </c>
      <c r="F125" s="33">
        <f>IF(AND(Pay_Num&lt;&gt;"",Sched_Pay+Extra_Pay&lt;Beg_Bal),Sched_Pay+Extra_Pay,IF(Pay_Num&lt;&gt;"",Beg_Bal,""))</f>
        <v>0</v>
      </c>
      <c r="G125" s="33">
        <f>IF(Pay_Num&lt;&gt;"",Total_Pay-Int,"")</f>
        <v>0</v>
      </c>
      <c r="H125" s="33">
        <f>IF(Pay_Num&lt;&gt;"",Beg_Bal*Interest_Rate/Num_Pmt_Per_Year,"")</f>
        <v>0</v>
      </c>
      <c r="I125" s="33">
        <f>IF(AND(Pay_Num&lt;&gt;"",Sched_Pay+Extra_Pay&lt;Beg_Bal),Beg_Bal-Princ,IF(Pay_Num&lt;&gt;"",0,""))</f>
        <v>0</v>
      </c>
      <c r="J125" s="33">
        <f>SUM($H$18:$H125)</f>
        <v>264024.10073253291</v>
      </c>
    </row>
    <row r="126" spans="1:10" x14ac:dyDescent="0.3">
      <c r="A126" s="36">
        <f>IF(Values_Entered,A125+1,"")</f>
        <v>109</v>
      </c>
      <c r="B126" s="35">
        <f>IF(Pay_Num&lt;&gt;"",DATE(YEAR(Loan_Start),MONTH(Loan_Start)+(Pay_Num)*12/Num_Pmt_Per_Year,DAY(Loan_Start)),"")</f>
        <v>48700</v>
      </c>
      <c r="C126" s="33">
        <f>IF(Pay_Num&lt;&gt;"",I125,"")</f>
        <v>0</v>
      </c>
      <c r="D126" s="33">
        <f>IF(Pay_Num&lt;&gt;"",Scheduled_Monthly_Payment,"")</f>
        <v>26333.835431927764</v>
      </c>
      <c r="E126" s="34">
        <f>IF(AND(Pay_Num&lt;&gt;"",Sched_Pay+Scheduled_Extra_Payments&lt;Beg_Bal),Scheduled_Extra_Payments,IF(AND(Pay_Num&lt;&gt;"",Beg_Bal-Sched_Pay&gt;0),Beg_Bal-Sched_Pay,IF(Pay_Num&lt;&gt;"",0,"")))</f>
        <v>0</v>
      </c>
      <c r="F126" s="33">
        <f>IF(AND(Pay_Num&lt;&gt;"",Sched_Pay+Extra_Pay&lt;Beg_Bal),Sched_Pay+Extra_Pay,IF(Pay_Num&lt;&gt;"",Beg_Bal,""))</f>
        <v>0</v>
      </c>
      <c r="G126" s="33">
        <f>IF(Pay_Num&lt;&gt;"",Total_Pay-Int,"")</f>
        <v>0</v>
      </c>
      <c r="H126" s="33">
        <f>IF(Pay_Num&lt;&gt;"",Beg_Bal*Interest_Rate/Num_Pmt_Per_Year,"")</f>
        <v>0</v>
      </c>
      <c r="I126" s="33">
        <f>IF(AND(Pay_Num&lt;&gt;"",Sched_Pay+Extra_Pay&lt;Beg_Bal),Beg_Bal-Princ,IF(Pay_Num&lt;&gt;"",0,""))</f>
        <v>0</v>
      </c>
      <c r="J126" s="33">
        <f>SUM($H$18:$H126)</f>
        <v>264024.10073253291</v>
      </c>
    </row>
    <row r="127" spans="1:10" x14ac:dyDescent="0.3">
      <c r="A127" s="36">
        <f>IF(Values_Entered,A126+1,"")</f>
        <v>110</v>
      </c>
      <c r="B127" s="35">
        <f>IF(Pay_Num&lt;&gt;"",DATE(YEAR(Loan_Start),MONTH(Loan_Start)+(Pay_Num)*12/Num_Pmt_Per_Year,DAY(Loan_Start)),"")</f>
        <v>48731</v>
      </c>
      <c r="C127" s="33">
        <f>IF(Pay_Num&lt;&gt;"",I126,"")</f>
        <v>0</v>
      </c>
      <c r="D127" s="33">
        <f>IF(Pay_Num&lt;&gt;"",Scheduled_Monthly_Payment,"")</f>
        <v>26333.835431927764</v>
      </c>
      <c r="E127" s="34">
        <f>IF(AND(Pay_Num&lt;&gt;"",Sched_Pay+Scheduled_Extra_Payments&lt;Beg_Bal),Scheduled_Extra_Payments,IF(AND(Pay_Num&lt;&gt;"",Beg_Bal-Sched_Pay&gt;0),Beg_Bal-Sched_Pay,IF(Pay_Num&lt;&gt;"",0,"")))</f>
        <v>0</v>
      </c>
      <c r="F127" s="33">
        <f>IF(AND(Pay_Num&lt;&gt;"",Sched_Pay+Extra_Pay&lt;Beg_Bal),Sched_Pay+Extra_Pay,IF(Pay_Num&lt;&gt;"",Beg_Bal,""))</f>
        <v>0</v>
      </c>
      <c r="G127" s="33">
        <f>IF(Pay_Num&lt;&gt;"",Total_Pay-Int,"")</f>
        <v>0</v>
      </c>
      <c r="H127" s="33">
        <f>IF(Pay_Num&lt;&gt;"",Beg_Bal*Interest_Rate/Num_Pmt_Per_Year,"")</f>
        <v>0</v>
      </c>
      <c r="I127" s="33">
        <f>IF(AND(Pay_Num&lt;&gt;"",Sched_Pay+Extra_Pay&lt;Beg_Bal),Beg_Bal-Princ,IF(Pay_Num&lt;&gt;"",0,""))</f>
        <v>0</v>
      </c>
      <c r="J127" s="33">
        <f>SUM($H$18:$H127)</f>
        <v>264024.10073253291</v>
      </c>
    </row>
    <row r="128" spans="1:10" x14ac:dyDescent="0.3">
      <c r="A128" s="36">
        <f>IF(Values_Entered,A127+1,"")</f>
        <v>111</v>
      </c>
      <c r="B128" s="35">
        <f>IF(Pay_Num&lt;&gt;"",DATE(YEAR(Loan_Start),MONTH(Loan_Start)+(Pay_Num)*12/Num_Pmt_Per_Year,DAY(Loan_Start)),"")</f>
        <v>48761</v>
      </c>
      <c r="C128" s="33">
        <f>IF(Pay_Num&lt;&gt;"",I127,"")</f>
        <v>0</v>
      </c>
      <c r="D128" s="33">
        <f>IF(Pay_Num&lt;&gt;"",Scheduled_Monthly_Payment,"")</f>
        <v>26333.835431927764</v>
      </c>
      <c r="E128" s="34">
        <f>IF(AND(Pay_Num&lt;&gt;"",Sched_Pay+Scheduled_Extra_Payments&lt;Beg_Bal),Scheduled_Extra_Payments,IF(AND(Pay_Num&lt;&gt;"",Beg_Bal-Sched_Pay&gt;0),Beg_Bal-Sched_Pay,IF(Pay_Num&lt;&gt;"",0,"")))</f>
        <v>0</v>
      </c>
      <c r="F128" s="33">
        <f>IF(AND(Pay_Num&lt;&gt;"",Sched_Pay+Extra_Pay&lt;Beg_Bal),Sched_Pay+Extra_Pay,IF(Pay_Num&lt;&gt;"",Beg_Bal,""))</f>
        <v>0</v>
      </c>
      <c r="G128" s="33">
        <f>IF(Pay_Num&lt;&gt;"",Total_Pay-Int,"")</f>
        <v>0</v>
      </c>
      <c r="H128" s="33">
        <f>IF(Pay_Num&lt;&gt;"",Beg_Bal*Interest_Rate/Num_Pmt_Per_Year,"")</f>
        <v>0</v>
      </c>
      <c r="I128" s="33">
        <f>IF(AND(Pay_Num&lt;&gt;"",Sched_Pay+Extra_Pay&lt;Beg_Bal),Beg_Bal-Princ,IF(Pay_Num&lt;&gt;"",0,""))</f>
        <v>0</v>
      </c>
      <c r="J128" s="33">
        <f>SUM($H$18:$H128)</f>
        <v>264024.10073253291</v>
      </c>
    </row>
    <row r="129" spans="1:10" x14ac:dyDescent="0.3">
      <c r="A129" s="36">
        <f>IF(Values_Entered,A128+1,"")</f>
        <v>112</v>
      </c>
      <c r="B129" s="35">
        <f>IF(Pay_Num&lt;&gt;"",DATE(YEAR(Loan_Start),MONTH(Loan_Start)+(Pay_Num)*12/Num_Pmt_Per_Year,DAY(Loan_Start)),"")</f>
        <v>48792</v>
      </c>
      <c r="C129" s="33">
        <f>IF(Pay_Num&lt;&gt;"",I128,"")</f>
        <v>0</v>
      </c>
      <c r="D129" s="33">
        <f>IF(Pay_Num&lt;&gt;"",Scheduled_Monthly_Payment,"")</f>
        <v>26333.835431927764</v>
      </c>
      <c r="E129" s="34">
        <f>IF(AND(Pay_Num&lt;&gt;"",Sched_Pay+Scheduled_Extra_Payments&lt;Beg_Bal),Scheduled_Extra_Payments,IF(AND(Pay_Num&lt;&gt;"",Beg_Bal-Sched_Pay&gt;0),Beg_Bal-Sched_Pay,IF(Pay_Num&lt;&gt;"",0,"")))</f>
        <v>0</v>
      </c>
      <c r="F129" s="33">
        <f>IF(AND(Pay_Num&lt;&gt;"",Sched_Pay+Extra_Pay&lt;Beg_Bal),Sched_Pay+Extra_Pay,IF(Pay_Num&lt;&gt;"",Beg_Bal,""))</f>
        <v>0</v>
      </c>
      <c r="G129" s="33">
        <f>IF(Pay_Num&lt;&gt;"",Total_Pay-Int,"")</f>
        <v>0</v>
      </c>
      <c r="H129" s="33">
        <f>IF(Pay_Num&lt;&gt;"",Beg_Bal*Interest_Rate/Num_Pmt_Per_Year,"")</f>
        <v>0</v>
      </c>
      <c r="I129" s="33">
        <f>IF(AND(Pay_Num&lt;&gt;"",Sched_Pay+Extra_Pay&lt;Beg_Bal),Beg_Bal-Princ,IF(Pay_Num&lt;&gt;"",0,""))</f>
        <v>0</v>
      </c>
      <c r="J129" s="33">
        <f>SUM($H$18:$H129)</f>
        <v>264024.10073253291</v>
      </c>
    </row>
    <row r="130" spans="1:10" x14ac:dyDescent="0.3">
      <c r="A130" s="36">
        <f>IF(Values_Entered,A129+1,"")</f>
        <v>113</v>
      </c>
      <c r="B130" s="35">
        <f>IF(Pay_Num&lt;&gt;"",DATE(YEAR(Loan_Start),MONTH(Loan_Start)+(Pay_Num)*12/Num_Pmt_Per_Year,DAY(Loan_Start)),"")</f>
        <v>48823</v>
      </c>
      <c r="C130" s="33">
        <f>IF(Pay_Num&lt;&gt;"",I129,"")</f>
        <v>0</v>
      </c>
      <c r="D130" s="33">
        <f>IF(Pay_Num&lt;&gt;"",Scheduled_Monthly_Payment,"")</f>
        <v>26333.835431927764</v>
      </c>
      <c r="E130" s="34">
        <f>IF(AND(Pay_Num&lt;&gt;"",Sched_Pay+Scheduled_Extra_Payments&lt;Beg_Bal),Scheduled_Extra_Payments,IF(AND(Pay_Num&lt;&gt;"",Beg_Bal-Sched_Pay&gt;0),Beg_Bal-Sched_Pay,IF(Pay_Num&lt;&gt;"",0,"")))</f>
        <v>0</v>
      </c>
      <c r="F130" s="33">
        <f>IF(AND(Pay_Num&lt;&gt;"",Sched_Pay+Extra_Pay&lt;Beg_Bal),Sched_Pay+Extra_Pay,IF(Pay_Num&lt;&gt;"",Beg_Bal,""))</f>
        <v>0</v>
      </c>
      <c r="G130" s="33">
        <f>IF(Pay_Num&lt;&gt;"",Total_Pay-Int,"")</f>
        <v>0</v>
      </c>
      <c r="H130" s="33">
        <f>IF(Pay_Num&lt;&gt;"",Beg_Bal*Interest_Rate/Num_Pmt_Per_Year,"")</f>
        <v>0</v>
      </c>
      <c r="I130" s="33">
        <f>IF(AND(Pay_Num&lt;&gt;"",Sched_Pay+Extra_Pay&lt;Beg_Bal),Beg_Bal-Princ,IF(Pay_Num&lt;&gt;"",0,""))</f>
        <v>0</v>
      </c>
      <c r="J130" s="33">
        <f>SUM($H$18:$H130)</f>
        <v>264024.10073253291</v>
      </c>
    </row>
    <row r="131" spans="1:10" x14ac:dyDescent="0.3">
      <c r="A131" s="36">
        <f>IF(Values_Entered,A130+1,"")</f>
        <v>114</v>
      </c>
      <c r="B131" s="35">
        <f>IF(Pay_Num&lt;&gt;"",DATE(YEAR(Loan_Start),MONTH(Loan_Start)+(Pay_Num)*12/Num_Pmt_Per_Year,DAY(Loan_Start)),"")</f>
        <v>48853</v>
      </c>
      <c r="C131" s="33">
        <f>IF(Pay_Num&lt;&gt;"",I130,"")</f>
        <v>0</v>
      </c>
      <c r="D131" s="33">
        <f>IF(Pay_Num&lt;&gt;"",Scheduled_Monthly_Payment,"")</f>
        <v>26333.835431927764</v>
      </c>
      <c r="E131" s="34">
        <f>IF(AND(Pay_Num&lt;&gt;"",Sched_Pay+Scheduled_Extra_Payments&lt;Beg_Bal),Scheduled_Extra_Payments,IF(AND(Pay_Num&lt;&gt;"",Beg_Bal-Sched_Pay&gt;0),Beg_Bal-Sched_Pay,IF(Pay_Num&lt;&gt;"",0,"")))</f>
        <v>0</v>
      </c>
      <c r="F131" s="33">
        <f>IF(AND(Pay_Num&lt;&gt;"",Sched_Pay+Extra_Pay&lt;Beg_Bal),Sched_Pay+Extra_Pay,IF(Pay_Num&lt;&gt;"",Beg_Bal,""))</f>
        <v>0</v>
      </c>
      <c r="G131" s="33">
        <f>IF(Pay_Num&lt;&gt;"",Total_Pay-Int,"")</f>
        <v>0</v>
      </c>
      <c r="H131" s="33">
        <f>IF(Pay_Num&lt;&gt;"",Beg_Bal*Interest_Rate/Num_Pmt_Per_Year,"")</f>
        <v>0</v>
      </c>
      <c r="I131" s="33">
        <f>IF(AND(Pay_Num&lt;&gt;"",Sched_Pay+Extra_Pay&lt;Beg_Bal),Beg_Bal-Princ,IF(Pay_Num&lt;&gt;"",0,""))</f>
        <v>0</v>
      </c>
      <c r="J131" s="33">
        <f>SUM($H$18:$H131)</f>
        <v>264024.10073253291</v>
      </c>
    </row>
    <row r="132" spans="1:10" x14ac:dyDescent="0.3">
      <c r="A132" s="36">
        <f>IF(Values_Entered,A131+1,"")</f>
        <v>115</v>
      </c>
      <c r="B132" s="35">
        <f>IF(Pay_Num&lt;&gt;"",DATE(YEAR(Loan_Start),MONTH(Loan_Start)+(Pay_Num)*12/Num_Pmt_Per_Year,DAY(Loan_Start)),"")</f>
        <v>48884</v>
      </c>
      <c r="C132" s="33">
        <f>IF(Pay_Num&lt;&gt;"",I131,"")</f>
        <v>0</v>
      </c>
      <c r="D132" s="33">
        <f>IF(Pay_Num&lt;&gt;"",Scheduled_Monthly_Payment,"")</f>
        <v>26333.835431927764</v>
      </c>
      <c r="E132" s="34">
        <f>IF(AND(Pay_Num&lt;&gt;"",Sched_Pay+Scheduled_Extra_Payments&lt;Beg_Bal),Scheduled_Extra_Payments,IF(AND(Pay_Num&lt;&gt;"",Beg_Bal-Sched_Pay&gt;0),Beg_Bal-Sched_Pay,IF(Pay_Num&lt;&gt;"",0,"")))</f>
        <v>0</v>
      </c>
      <c r="F132" s="33">
        <f>IF(AND(Pay_Num&lt;&gt;"",Sched_Pay+Extra_Pay&lt;Beg_Bal),Sched_Pay+Extra_Pay,IF(Pay_Num&lt;&gt;"",Beg_Bal,""))</f>
        <v>0</v>
      </c>
      <c r="G132" s="33">
        <f>IF(Pay_Num&lt;&gt;"",Total_Pay-Int,"")</f>
        <v>0</v>
      </c>
      <c r="H132" s="33">
        <f>IF(Pay_Num&lt;&gt;"",Beg_Bal*Interest_Rate/Num_Pmt_Per_Year,"")</f>
        <v>0</v>
      </c>
      <c r="I132" s="33">
        <f>IF(AND(Pay_Num&lt;&gt;"",Sched_Pay+Extra_Pay&lt;Beg_Bal),Beg_Bal-Princ,IF(Pay_Num&lt;&gt;"",0,""))</f>
        <v>0</v>
      </c>
      <c r="J132" s="33">
        <f>SUM($H$18:$H132)</f>
        <v>264024.10073253291</v>
      </c>
    </row>
    <row r="133" spans="1:10" x14ac:dyDescent="0.3">
      <c r="A133" s="36">
        <f>IF(Values_Entered,A132+1,"")</f>
        <v>116</v>
      </c>
      <c r="B133" s="35">
        <f>IF(Pay_Num&lt;&gt;"",DATE(YEAR(Loan_Start),MONTH(Loan_Start)+(Pay_Num)*12/Num_Pmt_Per_Year,DAY(Loan_Start)),"")</f>
        <v>48914</v>
      </c>
      <c r="C133" s="33">
        <f>IF(Pay_Num&lt;&gt;"",I132,"")</f>
        <v>0</v>
      </c>
      <c r="D133" s="33">
        <f>IF(Pay_Num&lt;&gt;"",Scheduled_Monthly_Payment,"")</f>
        <v>26333.835431927764</v>
      </c>
      <c r="E133" s="34">
        <f>IF(AND(Pay_Num&lt;&gt;"",Sched_Pay+Scheduled_Extra_Payments&lt;Beg_Bal),Scheduled_Extra_Payments,IF(AND(Pay_Num&lt;&gt;"",Beg_Bal-Sched_Pay&gt;0),Beg_Bal-Sched_Pay,IF(Pay_Num&lt;&gt;"",0,"")))</f>
        <v>0</v>
      </c>
      <c r="F133" s="33">
        <f>IF(AND(Pay_Num&lt;&gt;"",Sched_Pay+Extra_Pay&lt;Beg_Bal),Sched_Pay+Extra_Pay,IF(Pay_Num&lt;&gt;"",Beg_Bal,""))</f>
        <v>0</v>
      </c>
      <c r="G133" s="33">
        <f>IF(Pay_Num&lt;&gt;"",Total_Pay-Int,"")</f>
        <v>0</v>
      </c>
      <c r="H133" s="33">
        <f>IF(Pay_Num&lt;&gt;"",Beg_Bal*Interest_Rate/Num_Pmt_Per_Year,"")</f>
        <v>0</v>
      </c>
      <c r="I133" s="33">
        <f>IF(AND(Pay_Num&lt;&gt;"",Sched_Pay+Extra_Pay&lt;Beg_Bal),Beg_Bal-Princ,IF(Pay_Num&lt;&gt;"",0,""))</f>
        <v>0</v>
      </c>
      <c r="J133" s="33">
        <f>SUM($H$18:$H133)</f>
        <v>264024.10073253291</v>
      </c>
    </row>
    <row r="134" spans="1:10" x14ac:dyDescent="0.3">
      <c r="A134" s="36">
        <f>IF(Values_Entered,A133+1,"")</f>
        <v>117</v>
      </c>
      <c r="B134" s="35">
        <f>IF(Pay_Num&lt;&gt;"",DATE(YEAR(Loan_Start),MONTH(Loan_Start)+(Pay_Num)*12/Num_Pmt_Per_Year,DAY(Loan_Start)),"")</f>
        <v>48945</v>
      </c>
      <c r="C134" s="33">
        <f>IF(Pay_Num&lt;&gt;"",I133,"")</f>
        <v>0</v>
      </c>
      <c r="D134" s="33">
        <f>IF(Pay_Num&lt;&gt;"",Scheduled_Monthly_Payment,"")</f>
        <v>26333.835431927764</v>
      </c>
      <c r="E134" s="34">
        <f>IF(AND(Pay_Num&lt;&gt;"",Sched_Pay+Scheduled_Extra_Payments&lt;Beg_Bal),Scheduled_Extra_Payments,IF(AND(Pay_Num&lt;&gt;"",Beg_Bal-Sched_Pay&gt;0),Beg_Bal-Sched_Pay,IF(Pay_Num&lt;&gt;"",0,"")))</f>
        <v>0</v>
      </c>
      <c r="F134" s="33">
        <f>IF(AND(Pay_Num&lt;&gt;"",Sched_Pay+Extra_Pay&lt;Beg_Bal),Sched_Pay+Extra_Pay,IF(Pay_Num&lt;&gt;"",Beg_Bal,""))</f>
        <v>0</v>
      </c>
      <c r="G134" s="33">
        <f>IF(Pay_Num&lt;&gt;"",Total_Pay-Int,"")</f>
        <v>0</v>
      </c>
      <c r="H134" s="33">
        <f>IF(Pay_Num&lt;&gt;"",Beg_Bal*Interest_Rate/Num_Pmt_Per_Year,"")</f>
        <v>0</v>
      </c>
      <c r="I134" s="33">
        <f>IF(AND(Pay_Num&lt;&gt;"",Sched_Pay+Extra_Pay&lt;Beg_Bal),Beg_Bal-Princ,IF(Pay_Num&lt;&gt;"",0,""))</f>
        <v>0</v>
      </c>
      <c r="J134" s="33">
        <f>SUM($H$18:$H134)</f>
        <v>264024.10073253291</v>
      </c>
    </row>
    <row r="135" spans="1:10" x14ac:dyDescent="0.3">
      <c r="A135" s="36">
        <f>IF(Values_Entered,A134+1,"")</f>
        <v>118</v>
      </c>
      <c r="B135" s="35">
        <f>IF(Pay_Num&lt;&gt;"",DATE(YEAR(Loan_Start),MONTH(Loan_Start)+(Pay_Num)*12/Num_Pmt_Per_Year,DAY(Loan_Start)),"")</f>
        <v>48976</v>
      </c>
      <c r="C135" s="33">
        <f>IF(Pay_Num&lt;&gt;"",I134,"")</f>
        <v>0</v>
      </c>
      <c r="D135" s="33">
        <f>IF(Pay_Num&lt;&gt;"",Scheduled_Monthly_Payment,"")</f>
        <v>26333.835431927764</v>
      </c>
      <c r="E135" s="34">
        <f>IF(AND(Pay_Num&lt;&gt;"",Sched_Pay+Scheduled_Extra_Payments&lt;Beg_Bal),Scheduled_Extra_Payments,IF(AND(Pay_Num&lt;&gt;"",Beg_Bal-Sched_Pay&gt;0),Beg_Bal-Sched_Pay,IF(Pay_Num&lt;&gt;"",0,"")))</f>
        <v>0</v>
      </c>
      <c r="F135" s="33">
        <f>IF(AND(Pay_Num&lt;&gt;"",Sched_Pay+Extra_Pay&lt;Beg_Bal),Sched_Pay+Extra_Pay,IF(Pay_Num&lt;&gt;"",Beg_Bal,""))</f>
        <v>0</v>
      </c>
      <c r="G135" s="33">
        <f>IF(Pay_Num&lt;&gt;"",Total_Pay-Int,"")</f>
        <v>0</v>
      </c>
      <c r="H135" s="33">
        <f>IF(Pay_Num&lt;&gt;"",Beg_Bal*Interest_Rate/Num_Pmt_Per_Year,"")</f>
        <v>0</v>
      </c>
      <c r="I135" s="33">
        <f>IF(AND(Pay_Num&lt;&gt;"",Sched_Pay+Extra_Pay&lt;Beg_Bal),Beg_Bal-Princ,IF(Pay_Num&lt;&gt;"",0,""))</f>
        <v>0</v>
      </c>
      <c r="J135" s="33">
        <f>SUM($H$18:$H135)</f>
        <v>264024.10073253291</v>
      </c>
    </row>
    <row r="136" spans="1:10" x14ac:dyDescent="0.3">
      <c r="A136" s="36">
        <f>IF(Values_Entered,A135+1,"")</f>
        <v>119</v>
      </c>
      <c r="B136" s="35">
        <f>IF(Pay_Num&lt;&gt;"",DATE(YEAR(Loan_Start),MONTH(Loan_Start)+(Pay_Num)*12/Num_Pmt_Per_Year,DAY(Loan_Start)),"")</f>
        <v>49004</v>
      </c>
      <c r="C136" s="33">
        <f>IF(Pay_Num&lt;&gt;"",I135,"")</f>
        <v>0</v>
      </c>
      <c r="D136" s="33">
        <f>IF(Pay_Num&lt;&gt;"",Scheduled_Monthly_Payment,"")</f>
        <v>26333.835431927764</v>
      </c>
      <c r="E136" s="34">
        <f>IF(AND(Pay_Num&lt;&gt;"",Sched_Pay+Scheduled_Extra_Payments&lt;Beg_Bal),Scheduled_Extra_Payments,IF(AND(Pay_Num&lt;&gt;"",Beg_Bal-Sched_Pay&gt;0),Beg_Bal-Sched_Pay,IF(Pay_Num&lt;&gt;"",0,"")))</f>
        <v>0</v>
      </c>
      <c r="F136" s="33">
        <f>IF(AND(Pay_Num&lt;&gt;"",Sched_Pay+Extra_Pay&lt;Beg_Bal),Sched_Pay+Extra_Pay,IF(Pay_Num&lt;&gt;"",Beg_Bal,""))</f>
        <v>0</v>
      </c>
      <c r="G136" s="33">
        <f>IF(Pay_Num&lt;&gt;"",Total_Pay-Int,"")</f>
        <v>0</v>
      </c>
      <c r="H136" s="33">
        <f>IF(Pay_Num&lt;&gt;"",Beg_Bal*Interest_Rate/Num_Pmt_Per_Year,"")</f>
        <v>0</v>
      </c>
      <c r="I136" s="33">
        <f>IF(AND(Pay_Num&lt;&gt;"",Sched_Pay+Extra_Pay&lt;Beg_Bal),Beg_Bal-Princ,IF(Pay_Num&lt;&gt;"",0,""))</f>
        <v>0</v>
      </c>
      <c r="J136" s="33">
        <f>SUM($H$18:$H136)</f>
        <v>264024.10073253291</v>
      </c>
    </row>
    <row r="137" spans="1:10" x14ac:dyDescent="0.3">
      <c r="A137" s="36">
        <f>IF(Values_Entered,A136+1,"")</f>
        <v>120</v>
      </c>
      <c r="B137" s="35">
        <f>IF(Pay_Num&lt;&gt;"",DATE(YEAR(Loan_Start),MONTH(Loan_Start)+(Pay_Num)*12/Num_Pmt_Per_Year,DAY(Loan_Start)),"")</f>
        <v>49035</v>
      </c>
      <c r="C137" s="33">
        <f>IF(Pay_Num&lt;&gt;"",I136,"")</f>
        <v>0</v>
      </c>
      <c r="D137" s="33">
        <f>IF(Pay_Num&lt;&gt;"",Scheduled_Monthly_Payment,"")</f>
        <v>26333.835431927764</v>
      </c>
      <c r="E137" s="34">
        <f>IF(AND(Pay_Num&lt;&gt;"",Sched_Pay+Scheduled_Extra_Payments&lt;Beg_Bal),Scheduled_Extra_Payments,IF(AND(Pay_Num&lt;&gt;"",Beg_Bal-Sched_Pay&gt;0),Beg_Bal-Sched_Pay,IF(Pay_Num&lt;&gt;"",0,"")))</f>
        <v>0</v>
      </c>
      <c r="F137" s="33">
        <f>IF(AND(Pay_Num&lt;&gt;"",Sched_Pay+Extra_Pay&lt;Beg_Bal),Sched_Pay+Extra_Pay,IF(Pay_Num&lt;&gt;"",Beg_Bal,""))</f>
        <v>0</v>
      </c>
      <c r="G137" s="33">
        <f>IF(Pay_Num&lt;&gt;"",Total_Pay-Int,"")</f>
        <v>0</v>
      </c>
      <c r="H137" s="33">
        <f>IF(Pay_Num&lt;&gt;"",Beg_Bal*Interest_Rate/Num_Pmt_Per_Year,"")</f>
        <v>0</v>
      </c>
      <c r="I137" s="33">
        <f>IF(AND(Pay_Num&lt;&gt;"",Sched_Pay+Extra_Pay&lt;Beg_Bal),Beg_Bal-Princ,IF(Pay_Num&lt;&gt;"",0,""))</f>
        <v>0</v>
      </c>
      <c r="J137" s="33">
        <f>SUM($H$18:$H137)</f>
        <v>264024.10073253291</v>
      </c>
    </row>
    <row r="138" spans="1:10" x14ac:dyDescent="0.3">
      <c r="A138" s="36">
        <f>IF(Values_Entered,A137+1,"")</f>
        <v>121</v>
      </c>
      <c r="B138" s="35">
        <f>IF(Pay_Num&lt;&gt;"",DATE(YEAR(Loan_Start),MONTH(Loan_Start)+(Pay_Num)*12/Num_Pmt_Per_Year,DAY(Loan_Start)),"")</f>
        <v>49065</v>
      </c>
      <c r="C138" s="33">
        <f>IF(Pay_Num&lt;&gt;"",I137,"")</f>
        <v>0</v>
      </c>
      <c r="D138" s="33">
        <f>IF(Pay_Num&lt;&gt;"",Scheduled_Monthly_Payment,"")</f>
        <v>26333.835431927764</v>
      </c>
      <c r="E138" s="34">
        <f>IF(AND(Pay_Num&lt;&gt;"",Sched_Pay+Scheduled_Extra_Payments&lt;Beg_Bal),Scheduled_Extra_Payments,IF(AND(Pay_Num&lt;&gt;"",Beg_Bal-Sched_Pay&gt;0),Beg_Bal-Sched_Pay,IF(Pay_Num&lt;&gt;"",0,"")))</f>
        <v>0</v>
      </c>
      <c r="F138" s="33">
        <f>IF(AND(Pay_Num&lt;&gt;"",Sched_Pay+Extra_Pay&lt;Beg_Bal),Sched_Pay+Extra_Pay,IF(Pay_Num&lt;&gt;"",Beg_Bal,""))</f>
        <v>0</v>
      </c>
      <c r="G138" s="33">
        <f>IF(Pay_Num&lt;&gt;"",Total_Pay-Int,"")</f>
        <v>0</v>
      </c>
      <c r="H138" s="33">
        <f>IF(Pay_Num&lt;&gt;"",Beg_Bal*Interest_Rate/Num_Pmt_Per_Year,"")</f>
        <v>0</v>
      </c>
      <c r="I138" s="33">
        <f>IF(AND(Pay_Num&lt;&gt;"",Sched_Pay+Extra_Pay&lt;Beg_Bal),Beg_Bal-Princ,IF(Pay_Num&lt;&gt;"",0,""))</f>
        <v>0</v>
      </c>
      <c r="J138" s="33">
        <f>SUM($H$18:$H138)</f>
        <v>264024.10073253291</v>
      </c>
    </row>
    <row r="139" spans="1:10" x14ac:dyDescent="0.3">
      <c r="A139" s="36">
        <f>IF(Values_Entered,A138+1,"")</f>
        <v>122</v>
      </c>
      <c r="B139" s="35">
        <f>IF(Pay_Num&lt;&gt;"",DATE(YEAR(Loan_Start),MONTH(Loan_Start)+(Pay_Num)*12/Num_Pmt_Per_Year,DAY(Loan_Start)),"")</f>
        <v>49096</v>
      </c>
      <c r="C139" s="33">
        <f>IF(Pay_Num&lt;&gt;"",I138,"")</f>
        <v>0</v>
      </c>
      <c r="D139" s="33">
        <f>IF(Pay_Num&lt;&gt;"",Scheduled_Monthly_Payment,"")</f>
        <v>26333.835431927764</v>
      </c>
      <c r="E139" s="34">
        <f>IF(AND(Pay_Num&lt;&gt;"",Sched_Pay+Scheduled_Extra_Payments&lt;Beg_Bal),Scheduled_Extra_Payments,IF(AND(Pay_Num&lt;&gt;"",Beg_Bal-Sched_Pay&gt;0),Beg_Bal-Sched_Pay,IF(Pay_Num&lt;&gt;"",0,"")))</f>
        <v>0</v>
      </c>
      <c r="F139" s="33">
        <f>IF(AND(Pay_Num&lt;&gt;"",Sched_Pay+Extra_Pay&lt;Beg_Bal),Sched_Pay+Extra_Pay,IF(Pay_Num&lt;&gt;"",Beg_Bal,""))</f>
        <v>0</v>
      </c>
      <c r="G139" s="33">
        <f>IF(Pay_Num&lt;&gt;"",Total_Pay-Int,"")</f>
        <v>0</v>
      </c>
      <c r="H139" s="33">
        <f>IF(Pay_Num&lt;&gt;"",Beg_Bal*Interest_Rate/Num_Pmt_Per_Year,"")</f>
        <v>0</v>
      </c>
      <c r="I139" s="33">
        <f>IF(AND(Pay_Num&lt;&gt;"",Sched_Pay+Extra_Pay&lt;Beg_Bal),Beg_Bal-Princ,IF(Pay_Num&lt;&gt;"",0,""))</f>
        <v>0</v>
      </c>
      <c r="J139" s="33">
        <f>SUM($H$18:$H139)</f>
        <v>264024.10073253291</v>
      </c>
    </row>
    <row r="140" spans="1:10" x14ac:dyDescent="0.3">
      <c r="A140" s="36">
        <f>IF(Values_Entered,A139+1,"")</f>
        <v>123</v>
      </c>
      <c r="B140" s="35">
        <f>IF(Pay_Num&lt;&gt;"",DATE(YEAR(Loan_Start),MONTH(Loan_Start)+(Pay_Num)*12/Num_Pmt_Per_Year,DAY(Loan_Start)),"")</f>
        <v>49126</v>
      </c>
      <c r="C140" s="33">
        <f>IF(Pay_Num&lt;&gt;"",I139,"")</f>
        <v>0</v>
      </c>
      <c r="D140" s="33">
        <f>IF(Pay_Num&lt;&gt;"",Scheduled_Monthly_Payment,"")</f>
        <v>26333.835431927764</v>
      </c>
      <c r="E140" s="34">
        <f>IF(AND(Pay_Num&lt;&gt;"",Sched_Pay+Scheduled_Extra_Payments&lt;Beg_Bal),Scheduled_Extra_Payments,IF(AND(Pay_Num&lt;&gt;"",Beg_Bal-Sched_Pay&gt;0),Beg_Bal-Sched_Pay,IF(Pay_Num&lt;&gt;"",0,"")))</f>
        <v>0</v>
      </c>
      <c r="F140" s="33">
        <f>IF(AND(Pay_Num&lt;&gt;"",Sched_Pay+Extra_Pay&lt;Beg_Bal),Sched_Pay+Extra_Pay,IF(Pay_Num&lt;&gt;"",Beg_Bal,""))</f>
        <v>0</v>
      </c>
      <c r="G140" s="33">
        <f>IF(Pay_Num&lt;&gt;"",Total_Pay-Int,"")</f>
        <v>0</v>
      </c>
      <c r="H140" s="33">
        <f>IF(Pay_Num&lt;&gt;"",Beg_Bal*Interest_Rate/Num_Pmt_Per_Year,"")</f>
        <v>0</v>
      </c>
      <c r="I140" s="33">
        <f>IF(AND(Pay_Num&lt;&gt;"",Sched_Pay+Extra_Pay&lt;Beg_Bal),Beg_Bal-Princ,IF(Pay_Num&lt;&gt;"",0,""))</f>
        <v>0</v>
      </c>
      <c r="J140" s="33">
        <f>SUM($H$18:$H140)</f>
        <v>264024.10073253291</v>
      </c>
    </row>
    <row r="141" spans="1:10" x14ac:dyDescent="0.3">
      <c r="A141" s="36">
        <f>IF(Values_Entered,A140+1,"")</f>
        <v>124</v>
      </c>
      <c r="B141" s="35">
        <f>IF(Pay_Num&lt;&gt;"",DATE(YEAR(Loan_Start),MONTH(Loan_Start)+(Pay_Num)*12/Num_Pmt_Per_Year,DAY(Loan_Start)),"")</f>
        <v>49157</v>
      </c>
      <c r="C141" s="33">
        <f>IF(Pay_Num&lt;&gt;"",I140,"")</f>
        <v>0</v>
      </c>
      <c r="D141" s="33">
        <f>IF(Pay_Num&lt;&gt;"",Scheduled_Monthly_Payment,"")</f>
        <v>26333.835431927764</v>
      </c>
      <c r="E141" s="34">
        <f>IF(AND(Pay_Num&lt;&gt;"",Sched_Pay+Scheduled_Extra_Payments&lt;Beg_Bal),Scheduled_Extra_Payments,IF(AND(Pay_Num&lt;&gt;"",Beg_Bal-Sched_Pay&gt;0),Beg_Bal-Sched_Pay,IF(Pay_Num&lt;&gt;"",0,"")))</f>
        <v>0</v>
      </c>
      <c r="F141" s="33">
        <f>IF(AND(Pay_Num&lt;&gt;"",Sched_Pay+Extra_Pay&lt;Beg_Bal),Sched_Pay+Extra_Pay,IF(Pay_Num&lt;&gt;"",Beg_Bal,""))</f>
        <v>0</v>
      </c>
      <c r="G141" s="33">
        <f>IF(Pay_Num&lt;&gt;"",Total_Pay-Int,"")</f>
        <v>0</v>
      </c>
      <c r="H141" s="33">
        <f>IF(Pay_Num&lt;&gt;"",Beg_Bal*Interest_Rate/Num_Pmt_Per_Year,"")</f>
        <v>0</v>
      </c>
      <c r="I141" s="33">
        <f>IF(AND(Pay_Num&lt;&gt;"",Sched_Pay+Extra_Pay&lt;Beg_Bal),Beg_Bal-Princ,IF(Pay_Num&lt;&gt;"",0,""))</f>
        <v>0</v>
      </c>
      <c r="J141" s="33">
        <f>SUM($H$18:$H141)</f>
        <v>264024.10073253291</v>
      </c>
    </row>
    <row r="142" spans="1:10" x14ac:dyDescent="0.3">
      <c r="A142" s="36">
        <f>IF(Values_Entered,A141+1,"")</f>
        <v>125</v>
      </c>
      <c r="B142" s="35">
        <f>IF(Pay_Num&lt;&gt;"",DATE(YEAR(Loan_Start),MONTH(Loan_Start)+(Pay_Num)*12/Num_Pmt_Per_Year,DAY(Loan_Start)),"")</f>
        <v>49188</v>
      </c>
      <c r="C142" s="33">
        <f>IF(Pay_Num&lt;&gt;"",I141,"")</f>
        <v>0</v>
      </c>
      <c r="D142" s="33">
        <f>IF(Pay_Num&lt;&gt;"",Scheduled_Monthly_Payment,"")</f>
        <v>26333.835431927764</v>
      </c>
      <c r="E142" s="34">
        <f>IF(AND(Pay_Num&lt;&gt;"",Sched_Pay+Scheduled_Extra_Payments&lt;Beg_Bal),Scheduled_Extra_Payments,IF(AND(Pay_Num&lt;&gt;"",Beg_Bal-Sched_Pay&gt;0),Beg_Bal-Sched_Pay,IF(Pay_Num&lt;&gt;"",0,"")))</f>
        <v>0</v>
      </c>
      <c r="F142" s="33">
        <f>IF(AND(Pay_Num&lt;&gt;"",Sched_Pay+Extra_Pay&lt;Beg_Bal),Sched_Pay+Extra_Pay,IF(Pay_Num&lt;&gt;"",Beg_Bal,""))</f>
        <v>0</v>
      </c>
      <c r="G142" s="33">
        <f>IF(Pay_Num&lt;&gt;"",Total_Pay-Int,"")</f>
        <v>0</v>
      </c>
      <c r="H142" s="33">
        <f>IF(Pay_Num&lt;&gt;"",Beg_Bal*Interest_Rate/Num_Pmt_Per_Year,"")</f>
        <v>0</v>
      </c>
      <c r="I142" s="33">
        <f>IF(AND(Pay_Num&lt;&gt;"",Sched_Pay+Extra_Pay&lt;Beg_Bal),Beg_Bal-Princ,IF(Pay_Num&lt;&gt;"",0,""))</f>
        <v>0</v>
      </c>
      <c r="J142" s="33">
        <f>SUM($H$18:$H142)</f>
        <v>264024.10073253291</v>
      </c>
    </row>
    <row r="143" spans="1:10" x14ac:dyDescent="0.3">
      <c r="A143" s="36">
        <f>IF(Values_Entered,A142+1,"")</f>
        <v>126</v>
      </c>
      <c r="B143" s="35">
        <f>IF(Pay_Num&lt;&gt;"",DATE(YEAR(Loan_Start),MONTH(Loan_Start)+(Pay_Num)*12/Num_Pmt_Per_Year,DAY(Loan_Start)),"")</f>
        <v>49218</v>
      </c>
      <c r="C143" s="33">
        <f>IF(Pay_Num&lt;&gt;"",I142,"")</f>
        <v>0</v>
      </c>
      <c r="D143" s="33">
        <f>IF(Pay_Num&lt;&gt;"",Scheduled_Monthly_Payment,"")</f>
        <v>26333.835431927764</v>
      </c>
      <c r="E143" s="34">
        <f>IF(AND(Pay_Num&lt;&gt;"",Sched_Pay+Scheduled_Extra_Payments&lt;Beg_Bal),Scheduled_Extra_Payments,IF(AND(Pay_Num&lt;&gt;"",Beg_Bal-Sched_Pay&gt;0),Beg_Bal-Sched_Pay,IF(Pay_Num&lt;&gt;"",0,"")))</f>
        <v>0</v>
      </c>
      <c r="F143" s="33">
        <f>IF(AND(Pay_Num&lt;&gt;"",Sched_Pay+Extra_Pay&lt;Beg_Bal),Sched_Pay+Extra_Pay,IF(Pay_Num&lt;&gt;"",Beg_Bal,""))</f>
        <v>0</v>
      </c>
      <c r="G143" s="33">
        <f>IF(Pay_Num&lt;&gt;"",Total_Pay-Int,"")</f>
        <v>0</v>
      </c>
      <c r="H143" s="33">
        <f>IF(Pay_Num&lt;&gt;"",Beg_Bal*Interest_Rate/Num_Pmt_Per_Year,"")</f>
        <v>0</v>
      </c>
      <c r="I143" s="33">
        <f>IF(AND(Pay_Num&lt;&gt;"",Sched_Pay+Extra_Pay&lt;Beg_Bal),Beg_Bal-Princ,IF(Pay_Num&lt;&gt;"",0,""))</f>
        <v>0</v>
      </c>
      <c r="J143" s="33">
        <f>SUM($H$18:$H143)</f>
        <v>264024.10073253291</v>
      </c>
    </row>
    <row r="144" spans="1:10" x14ac:dyDescent="0.3">
      <c r="A144" s="36">
        <f>IF(Values_Entered,A143+1,"")</f>
        <v>127</v>
      </c>
      <c r="B144" s="35">
        <f>IF(Pay_Num&lt;&gt;"",DATE(YEAR(Loan_Start),MONTH(Loan_Start)+(Pay_Num)*12/Num_Pmt_Per_Year,DAY(Loan_Start)),"")</f>
        <v>49249</v>
      </c>
      <c r="C144" s="33">
        <f>IF(Pay_Num&lt;&gt;"",I143,"")</f>
        <v>0</v>
      </c>
      <c r="D144" s="33">
        <f>IF(Pay_Num&lt;&gt;"",Scheduled_Monthly_Payment,"")</f>
        <v>26333.835431927764</v>
      </c>
      <c r="E144" s="34">
        <f>IF(AND(Pay_Num&lt;&gt;"",Sched_Pay+Scheduled_Extra_Payments&lt;Beg_Bal),Scheduled_Extra_Payments,IF(AND(Pay_Num&lt;&gt;"",Beg_Bal-Sched_Pay&gt;0),Beg_Bal-Sched_Pay,IF(Pay_Num&lt;&gt;"",0,"")))</f>
        <v>0</v>
      </c>
      <c r="F144" s="33">
        <f>IF(AND(Pay_Num&lt;&gt;"",Sched_Pay+Extra_Pay&lt;Beg_Bal),Sched_Pay+Extra_Pay,IF(Pay_Num&lt;&gt;"",Beg_Bal,""))</f>
        <v>0</v>
      </c>
      <c r="G144" s="33">
        <f>IF(Pay_Num&lt;&gt;"",Total_Pay-Int,"")</f>
        <v>0</v>
      </c>
      <c r="H144" s="33">
        <f>IF(Pay_Num&lt;&gt;"",Beg_Bal*Interest_Rate/Num_Pmt_Per_Year,"")</f>
        <v>0</v>
      </c>
      <c r="I144" s="33">
        <f>IF(AND(Pay_Num&lt;&gt;"",Sched_Pay+Extra_Pay&lt;Beg_Bal),Beg_Bal-Princ,IF(Pay_Num&lt;&gt;"",0,""))</f>
        <v>0</v>
      </c>
      <c r="J144" s="33">
        <f>SUM($H$18:$H144)</f>
        <v>264024.10073253291</v>
      </c>
    </row>
    <row r="145" spans="1:10" x14ac:dyDescent="0.3">
      <c r="A145" s="36">
        <f>IF(Values_Entered,A144+1,"")</f>
        <v>128</v>
      </c>
      <c r="B145" s="35">
        <f>IF(Pay_Num&lt;&gt;"",DATE(YEAR(Loan_Start),MONTH(Loan_Start)+(Pay_Num)*12/Num_Pmt_Per_Year,DAY(Loan_Start)),"")</f>
        <v>49279</v>
      </c>
      <c r="C145" s="33">
        <f>IF(Pay_Num&lt;&gt;"",I144,"")</f>
        <v>0</v>
      </c>
      <c r="D145" s="33">
        <f>IF(Pay_Num&lt;&gt;"",Scheduled_Monthly_Payment,"")</f>
        <v>26333.835431927764</v>
      </c>
      <c r="E145" s="34">
        <f>IF(AND(Pay_Num&lt;&gt;"",Sched_Pay+Scheduled_Extra_Payments&lt;Beg_Bal),Scheduled_Extra_Payments,IF(AND(Pay_Num&lt;&gt;"",Beg_Bal-Sched_Pay&gt;0),Beg_Bal-Sched_Pay,IF(Pay_Num&lt;&gt;"",0,"")))</f>
        <v>0</v>
      </c>
      <c r="F145" s="33">
        <f>IF(AND(Pay_Num&lt;&gt;"",Sched_Pay+Extra_Pay&lt;Beg_Bal),Sched_Pay+Extra_Pay,IF(Pay_Num&lt;&gt;"",Beg_Bal,""))</f>
        <v>0</v>
      </c>
      <c r="G145" s="33">
        <f>IF(Pay_Num&lt;&gt;"",Total_Pay-Int,"")</f>
        <v>0</v>
      </c>
      <c r="H145" s="33">
        <f>IF(Pay_Num&lt;&gt;"",Beg_Bal*Interest_Rate/Num_Pmt_Per_Year,"")</f>
        <v>0</v>
      </c>
      <c r="I145" s="33">
        <f>IF(AND(Pay_Num&lt;&gt;"",Sched_Pay+Extra_Pay&lt;Beg_Bal),Beg_Bal-Princ,IF(Pay_Num&lt;&gt;"",0,""))</f>
        <v>0</v>
      </c>
      <c r="J145" s="33">
        <f>SUM($H$18:$H145)</f>
        <v>264024.10073253291</v>
      </c>
    </row>
    <row r="146" spans="1:10" x14ac:dyDescent="0.3">
      <c r="A146" s="36">
        <f>IF(Values_Entered,A145+1,"")</f>
        <v>129</v>
      </c>
      <c r="B146" s="35">
        <f>IF(Pay_Num&lt;&gt;"",DATE(YEAR(Loan_Start),MONTH(Loan_Start)+(Pay_Num)*12/Num_Pmt_Per_Year,DAY(Loan_Start)),"")</f>
        <v>49310</v>
      </c>
      <c r="C146" s="33">
        <f>IF(Pay_Num&lt;&gt;"",I145,"")</f>
        <v>0</v>
      </c>
      <c r="D146" s="33">
        <f>IF(Pay_Num&lt;&gt;"",Scheduled_Monthly_Payment,"")</f>
        <v>26333.835431927764</v>
      </c>
      <c r="E146" s="34">
        <f>IF(AND(Pay_Num&lt;&gt;"",Sched_Pay+Scheduled_Extra_Payments&lt;Beg_Bal),Scheduled_Extra_Payments,IF(AND(Pay_Num&lt;&gt;"",Beg_Bal-Sched_Pay&gt;0),Beg_Bal-Sched_Pay,IF(Pay_Num&lt;&gt;"",0,"")))</f>
        <v>0</v>
      </c>
      <c r="F146" s="33">
        <f>IF(AND(Pay_Num&lt;&gt;"",Sched_Pay+Extra_Pay&lt;Beg_Bal),Sched_Pay+Extra_Pay,IF(Pay_Num&lt;&gt;"",Beg_Bal,""))</f>
        <v>0</v>
      </c>
      <c r="G146" s="33">
        <f>IF(Pay_Num&lt;&gt;"",Total_Pay-Int,"")</f>
        <v>0</v>
      </c>
      <c r="H146" s="33">
        <f>IF(Pay_Num&lt;&gt;"",Beg_Bal*Interest_Rate/Num_Pmt_Per_Year,"")</f>
        <v>0</v>
      </c>
      <c r="I146" s="33">
        <f>IF(AND(Pay_Num&lt;&gt;"",Sched_Pay+Extra_Pay&lt;Beg_Bal),Beg_Bal-Princ,IF(Pay_Num&lt;&gt;"",0,""))</f>
        <v>0</v>
      </c>
      <c r="J146" s="33">
        <f>SUM($H$18:$H146)</f>
        <v>264024.10073253291</v>
      </c>
    </row>
    <row r="147" spans="1:10" x14ac:dyDescent="0.3">
      <c r="A147" s="36">
        <f>IF(Values_Entered,A146+1,"")</f>
        <v>130</v>
      </c>
      <c r="B147" s="35">
        <f>IF(Pay_Num&lt;&gt;"",DATE(YEAR(Loan_Start),MONTH(Loan_Start)+(Pay_Num)*12/Num_Pmt_Per_Year,DAY(Loan_Start)),"")</f>
        <v>49341</v>
      </c>
      <c r="C147" s="33">
        <f>IF(Pay_Num&lt;&gt;"",I146,"")</f>
        <v>0</v>
      </c>
      <c r="D147" s="33">
        <f>IF(Pay_Num&lt;&gt;"",Scheduled_Monthly_Payment,"")</f>
        <v>26333.835431927764</v>
      </c>
      <c r="E147" s="34">
        <f>IF(AND(Pay_Num&lt;&gt;"",Sched_Pay+Scheduled_Extra_Payments&lt;Beg_Bal),Scheduled_Extra_Payments,IF(AND(Pay_Num&lt;&gt;"",Beg_Bal-Sched_Pay&gt;0),Beg_Bal-Sched_Pay,IF(Pay_Num&lt;&gt;"",0,"")))</f>
        <v>0</v>
      </c>
      <c r="F147" s="33">
        <f>IF(AND(Pay_Num&lt;&gt;"",Sched_Pay+Extra_Pay&lt;Beg_Bal),Sched_Pay+Extra_Pay,IF(Pay_Num&lt;&gt;"",Beg_Bal,""))</f>
        <v>0</v>
      </c>
      <c r="G147" s="33">
        <f>IF(Pay_Num&lt;&gt;"",Total_Pay-Int,"")</f>
        <v>0</v>
      </c>
      <c r="H147" s="33">
        <f>IF(Pay_Num&lt;&gt;"",Beg_Bal*Interest_Rate/Num_Pmt_Per_Year,"")</f>
        <v>0</v>
      </c>
      <c r="I147" s="33">
        <f>IF(AND(Pay_Num&lt;&gt;"",Sched_Pay+Extra_Pay&lt;Beg_Bal),Beg_Bal-Princ,IF(Pay_Num&lt;&gt;"",0,""))</f>
        <v>0</v>
      </c>
      <c r="J147" s="33">
        <f>SUM($H$18:$H147)</f>
        <v>264024.10073253291</v>
      </c>
    </row>
    <row r="148" spans="1:10" x14ac:dyDescent="0.3">
      <c r="A148" s="36">
        <f>IF(Values_Entered,A147+1,"")</f>
        <v>131</v>
      </c>
      <c r="B148" s="35">
        <f>IF(Pay_Num&lt;&gt;"",DATE(YEAR(Loan_Start),MONTH(Loan_Start)+(Pay_Num)*12/Num_Pmt_Per_Year,DAY(Loan_Start)),"")</f>
        <v>49369</v>
      </c>
      <c r="C148" s="33">
        <f>IF(Pay_Num&lt;&gt;"",I147,"")</f>
        <v>0</v>
      </c>
      <c r="D148" s="33">
        <f>IF(Pay_Num&lt;&gt;"",Scheduled_Monthly_Payment,"")</f>
        <v>26333.835431927764</v>
      </c>
      <c r="E148" s="34">
        <f>IF(AND(Pay_Num&lt;&gt;"",Sched_Pay+Scheduled_Extra_Payments&lt;Beg_Bal),Scheduled_Extra_Payments,IF(AND(Pay_Num&lt;&gt;"",Beg_Bal-Sched_Pay&gt;0),Beg_Bal-Sched_Pay,IF(Pay_Num&lt;&gt;"",0,"")))</f>
        <v>0</v>
      </c>
      <c r="F148" s="33">
        <f>IF(AND(Pay_Num&lt;&gt;"",Sched_Pay+Extra_Pay&lt;Beg_Bal),Sched_Pay+Extra_Pay,IF(Pay_Num&lt;&gt;"",Beg_Bal,""))</f>
        <v>0</v>
      </c>
      <c r="G148" s="33">
        <f>IF(Pay_Num&lt;&gt;"",Total_Pay-Int,"")</f>
        <v>0</v>
      </c>
      <c r="H148" s="33">
        <f>IF(Pay_Num&lt;&gt;"",Beg_Bal*Interest_Rate/Num_Pmt_Per_Year,"")</f>
        <v>0</v>
      </c>
      <c r="I148" s="33">
        <f>IF(AND(Pay_Num&lt;&gt;"",Sched_Pay+Extra_Pay&lt;Beg_Bal),Beg_Bal-Princ,IF(Pay_Num&lt;&gt;"",0,""))</f>
        <v>0</v>
      </c>
      <c r="J148" s="33">
        <f>SUM($H$18:$H148)</f>
        <v>264024.10073253291</v>
      </c>
    </row>
    <row r="149" spans="1:10" x14ac:dyDescent="0.3">
      <c r="A149" s="36">
        <f>IF(Values_Entered,A148+1,"")</f>
        <v>132</v>
      </c>
      <c r="B149" s="35">
        <f>IF(Pay_Num&lt;&gt;"",DATE(YEAR(Loan_Start),MONTH(Loan_Start)+(Pay_Num)*12/Num_Pmt_Per_Year,DAY(Loan_Start)),"")</f>
        <v>49400</v>
      </c>
      <c r="C149" s="33">
        <f>IF(Pay_Num&lt;&gt;"",I148,"")</f>
        <v>0</v>
      </c>
      <c r="D149" s="33">
        <f>IF(Pay_Num&lt;&gt;"",Scheduled_Monthly_Payment,"")</f>
        <v>26333.835431927764</v>
      </c>
      <c r="E149" s="34">
        <f>IF(AND(Pay_Num&lt;&gt;"",Sched_Pay+Scheduled_Extra_Payments&lt;Beg_Bal),Scheduled_Extra_Payments,IF(AND(Pay_Num&lt;&gt;"",Beg_Bal-Sched_Pay&gt;0),Beg_Bal-Sched_Pay,IF(Pay_Num&lt;&gt;"",0,"")))</f>
        <v>0</v>
      </c>
      <c r="F149" s="33">
        <f>IF(AND(Pay_Num&lt;&gt;"",Sched_Pay+Extra_Pay&lt;Beg_Bal),Sched_Pay+Extra_Pay,IF(Pay_Num&lt;&gt;"",Beg_Bal,""))</f>
        <v>0</v>
      </c>
      <c r="G149" s="33">
        <f>IF(Pay_Num&lt;&gt;"",Total_Pay-Int,"")</f>
        <v>0</v>
      </c>
      <c r="H149" s="33">
        <f>IF(Pay_Num&lt;&gt;"",Beg_Bal*Interest_Rate/Num_Pmt_Per_Year,"")</f>
        <v>0</v>
      </c>
      <c r="I149" s="33">
        <f>IF(AND(Pay_Num&lt;&gt;"",Sched_Pay+Extra_Pay&lt;Beg_Bal),Beg_Bal-Princ,IF(Pay_Num&lt;&gt;"",0,""))</f>
        <v>0</v>
      </c>
      <c r="J149" s="33">
        <f>SUM($H$18:$H149)</f>
        <v>264024.10073253291</v>
      </c>
    </row>
    <row r="150" spans="1:10" x14ac:dyDescent="0.3">
      <c r="A150" s="36">
        <f>IF(Values_Entered,A149+1,"")</f>
        <v>133</v>
      </c>
      <c r="B150" s="35">
        <f>IF(Pay_Num&lt;&gt;"",DATE(YEAR(Loan_Start),MONTH(Loan_Start)+(Pay_Num)*12/Num_Pmt_Per_Year,DAY(Loan_Start)),"")</f>
        <v>49430</v>
      </c>
      <c r="C150" s="33">
        <f>IF(Pay_Num&lt;&gt;"",I149,"")</f>
        <v>0</v>
      </c>
      <c r="D150" s="33">
        <f>IF(Pay_Num&lt;&gt;"",Scheduled_Monthly_Payment,"")</f>
        <v>26333.835431927764</v>
      </c>
      <c r="E150" s="34">
        <f>IF(AND(Pay_Num&lt;&gt;"",Sched_Pay+Scheduled_Extra_Payments&lt;Beg_Bal),Scheduled_Extra_Payments,IF(AND(Pay_Num&lt;&gt;"",Beg_Bal-Sched_Pay&gt;0),Beg_Bal-Sched_Pay,IF(Pay_Num&lt;&gt;"",0,"")))</f>
        <v>0</v>
      </c>
      <c r="F150" s="33">
        <f>IF(AND(Pay_Num&lt;&gt;"",Sched_Pay+Extra_Pay&lt;Beg_Bal),Sched_Pay+Extra_Pay,IF(Pay_Num&lt;&gt;"",Beg_Bal,""))</f>
        <v>0</v>
      </c>
      <c r="G150" s="33">
        <f>IF(Pay_Num&lt;&gt;"",Total_Pay-Int,"")</f>
        <v>0</v>
      </c>
      <c r="H150" s="33">
        <f>IF(Pay_Num&lt;&gt;"",Beg_Bal*Interest_Rate/Num_Pmt_Per_Year,"")</f>
        <v>0</v>
      </c>
      <c r="I150" s="33">
        <f>IF(AND(Pay_Num&lt;&gt;"",Sched_Pay+Extra_Pay&lt;Beg_Bal),Beg_Bal-Princ,IF(Pay_Num&lt;&gt;"",0,""))</f>
        <v>0</v>
      </c>
      <c r="J150" s="33">
        <f>SUM($H$18:$H150)</f>
        <v>264024.10073253291</v>
      </c>
    </row>
    <row r="151" spans="1:10" x14ac:dyDescent="0.3">
      <c r="A151" s="36">
        <f>IF(Values_Entered,A150+1,"")</f>
        <v>134</v>
      </c>
      <c r="B151" s="35">
        <f>IF(Pay_Num&lt;&gt;"",DATE(YEAR(Loan_Start),MONTH(Loan_Start)+(Pay_Num)*12/Num_Pmt_Per_Year,DAY(Loan_Start)),"")</f>
        <v>49461</v>
      </c>
      <c r="C151" s="33">
        <f>IF(Pay_Num&lt;&gt;"",I150,"")</f>
        <v>0</v>
      </c>
      <c r="D151" s="33">
        <f>IF(Pay_Num&lt;&gt;"",Scheduled_Monthly_Payment,"")</f>
        <v>26333.835431927764</v>
      </c>
      <c r="E151" s="34">
        <f>IF(AND(Pay_Num&lt;&gt;"",Sched_Pay+Scheduled_Extra_Payments&lt;Beg_Bal),Scheduled_Extra_Payments,IF(AND(Pay_Num&lt;&gt;"",Beg_Bal-Sched_Pay&gt;0),Beg_Bal-Sched_Pay,IF(Pay_Num&lt;&gt;"",0,"")))</f>
        <v>0</v>
      </c>
      <c r="F151" s="33">
        <f>IF(AND(Pay_Num&lt;&gt;"",Sched_Pay+Extra_Pay&lt;Beg_Bal),Sched_Pay+Extra_Pay,IF(Pay_Num&lt;&gt;"",Beg_Bal,""))</f>
        <v>0</v>
      </c>
      <c r="G151" s="33">
        <f>IF(Pay_Num&lt;&gt;"",Total_Pay-Int,"")</f>
        <v>0</v>
      </c>
      <c r="H151" s="33">
        <f>IF(Pay_Num&lt;&gt;"",Beg_Bal*Interest_Rate/Num_Pmt_Per_Year,"")</f>
        <v>0</v>
      </c>
      <c r="I151" s="33">
        <f>IF(AND(Pay_Num&lt;&gt;"",Sched_Pay+Extra_Pay&lt;Beg_Bal),Beg_Bal-Princ,IF(Pay_Num&lt;&gt;"",0,""))</f>
        <v>0</v>
      </c>
      <c r="J151" s="33">
        <f>SUM($H$18:$H151)</f>
        <v>264024.10073253291</v>
      </c>
    </row>
    <row r="152" spans="1:10" x14ac:dyDescent="0.3">
      <c r="A152" s="36">
        <f>IF(Values_Entered,A151+1,"")</f>
        <v>135</v>
      </c>
      <c r="B152" s="35">
        <f>IF(Pay_Num&lt;&gt;"",DATE(YEAR(Loan_Start),MONTH(Loan_Start)+(Pay_Num)*12/Num_Pmt_Per_Year,DAY(Loan_Start)),"")</f>
        <v>49491</v>
      </c>
      <c r="C152" s="33">
        <f>IF(Pay_Num&lt;&gt;"",I151,"")</f>
        <v>0</v>
      </c>
      <c r="D152" s="33">
        <f>IF(Pay_Num&lt;&gt;"",Scheduled_Monthly_Payment,"")</f>
        <v>26333.835431927764</v>
      </c>
      <c r="E152" s="34">
        <f>IF(AND(Pay_Num&lt;&gt;"",Sched_Pay+Scheduled_Extra_Payments&lt;Beg_Bal),Scheduled_Extra_Payments,IF(AND(Pay_Num&lt;&gt;"",Beg_Bal-Sched_Pay&gt;0),Beg_Bal-Sched_Pay,IF(Pay_Num&lt;&gt;"",0,"")))</f>
        <v>0</v>
      </c>
      <c r="F152" s="33">
        <f>IF(AND(Pay_Num&lt;&gt;"",Sched_Pay+Extra_Pay&lt;Beg_Bal),Sched_Pay+Extra_Pay,IF(Pay_Num&lt;&gt;"",Beg_Bal,""))</f>
        <v>0</v>
      </c>
      <c r="G152" s="33">
        <f>IF(Pay_Num&lt;&gt;"",Total_Pay-Int,"")</f>
        <v>0</v>
      </c>
      <c r="H152" s="33">
        <f>IF(Pay_Num&lt;&gt;"",Beg_Bal*Interest_Rate/Num_Pmt_Per_Year,"")</f>
        <v>0</v>
      </c>
      <c r="I152" s="33">
        <f>IF(AND(Pay_Num&lt;&gt;"",Sched_Pay+Extra_Pay&lt;Beg_Bal),Beg_Bal-Princ,IF(Pay_Num&lt;&gt;"",0,""))</f>
        <v>0</v>
      </c>
      <c r="J152" s="33">
        <f>SUM($H$18:$H152)</f>
        <v>264024.10073253291</v>
      </c>
    </row>
    <row r="153" spans="1:10" x14ac:dyDescent="0.3">
      <c r="A153" s="36">
        <f>IF(Values_Entered,A152+1,"")</f>
        <v>136</v>
      </c>
      <c r="B153" s="35">
        <f>IF(Pay_Num&lt;&gt;"",DATE(YEAR(Loan_Start),MONTH(Loan_Start)+(Pay_Num)*12/Num_Pmt_Per_Year,DAY(Loan_Start)),"")</f>
        <v>49522</v>
      </c>
      <c r="C153" s="33">
        <f>IF(Pay_Num&lt;&gt;"",I152,"")</f>
        <v>0</v>
      </c>
      <c r="D153" s="33">
        <f>IF(Pay_Num&lt;&gt;"",Scheduled_Monthly_Payment,"")</f>
        <v>26333.835431927764</v>
      </c>
      <c r="E153" s="34">
        <f>IF(AND(Pay_Num&lt;&gt;"",Sched_Pay+Scheduled_Extra_Payments&lt;Beg_Bal),Scheduled_Extra_Payments,IF(AND(Pay_Num&lt;&gt;"",Beg_Bal-Sched_Pay&gt;0),Beg_Bal-Sched_Pay,IF(Pay_Num&lt;&gt;"",0,"")))</f>
        <v>0</v>
      </c>
      <c r="F153" s="33">
        <f>IF(AND(Pay_Num&lt;&gt;"",Sched_Pay+Extra_Pay&lt;Beg_Bal),Sched_Pay+Extra_Pay,IF(Pay_Num&lt;&gt;"",Beg_Bal,""))</f>
        <v>0</v>
      </c>
      <c r="G153" s="33">
        <f>IF(Pay_Num&lt;&gt;"",Total_Pay-Int,"")</f>
        <v>0</v>
      </c>
      <c r="H153" s="33">
        <f>IF(Pay_Num&lt;&gt;"",Beg_Bal*Interest_Rate/Num_Pmt_Per_Year,"")</f>
        <v>0</v>
      </c>
      <c r="I153" s="33">
        <f>IF(AND(Pay_Num&lt;&gt;"",Sched_Pay+Extra_Pay&lt;Beg_Bal),Beg_Bal-Princ,IF(Pay_Num&lt;&gt;"",0,""))</f>
        <v>0</v>
      </c>
      <c r="J153" s="33">
        <f>SUM($H$18:$H153)</f>
        <v>264024.10073253291</v>
      </c>
    </row>
    <row r="154" spans="1:10" x14ac:dyDescent="0.3">
      <c r="A154" s="36">
        <f>IF(Values_Entered,A153+1,"")</f>
        <v>137</v>
      </c>
      <c r="B154" s="35">
        <f>IF(Pay_Num&lt;&gt;"",DATE(YEAR(Loan_Start),MONTH(Loan_Start)+(Pay_Num)*12/Num_Pmt_Per_Year,DAY(Loan_Start)),"")</f>
        <v>49553</v>
      </c>
      <c r="C154" s="33">
        <f>IF(Pay_Num&lt;&gt;"",I153,"")</f>
        <v>0</v>
      </c>
      <c r="D154" s="33">
        <f>IF(Pay_Num&lt;&gt;"",Scheduled_Monthly_Payment,"")</f>
        <v>26333.835431927764</v>
      </c>
      <c r="E154" s="34">
        <f>IF(AND(Pay_Num&lt;&gt;"",Sched_Pay+Scheduled_Extra_Payments&lt;Beg_Bal),Scheduled_Extra_Payments,IF(AND(Pay_Num&lt;&gt;"",Beg_Bal-Sched_Pay&gt;0),Beg_Bal-Sched_Pay,IF(Pay_Num&lt;&gt;"",0,"")))</f>
        <v>0</v>
      </c>
      <c r="F154" s="33">
        <f>IF(AND(Pay_Num&lt;&gt;"",Sched_Pay+Extra_Pay&lt;Beg_Bal),Sched_Pay+Extra_Pay,IF(Pay_Num&lt;&gt;"",Beg_Bal,""))</f>
        <v>0</v>
      </c>
      <c r="G154" s="33">
        <f>IF(Pay_Num&lt;&gt;"",Total_Pay-Int,"")</f>
        <v>0</v>
      </c>
      <c r="H154" s="33">
        <f>IF(Pay_Num&lt;&gt;"",Beg_Bal*Interest_Rate/Num_Pmt_Per_Year,"")</f>
        <v>0</v>
      </c>
      <c r="I154" s="33">
        <f>IF(AND(Pay_Num&lt;&gt;"",Sched_Pay+Extra_Pay&lt;Beg_Bal),Beg_Bal-Princ,IF(Pay_Num&lt;&gt;"",0,""))</f>
        <v>0</v>
      </c>
      <c r="J154" s="33">
        <f>SUM($H$18:$H154)</f>
        <v>264024.10073253291</v>
      </c>
    </row>
    <row r="155" spans="1:10" x14ac:dyDescent="0.3">
      <c r="A155" s="36">
        <f>IF(Values_Entered,A154+1,"")</f>
        <v>138</v>
      </c>
      <c r="B155" s="35">
        <f>IF(Pay_Num&lt;&gt;"",DATE(YEAR(Loan_Start),MONTH(Loan_Start)+(Pay_Num)*12/Num_Pmt_Per_Year,DAY(Loan_Start)),"")</f>
        <v>49583</v>
      </c>
      <c r="C155" s="33">
        <f>IF(Pay_Num&lt;&gt;"",I154,"")</f>
        <v>0</v>
      </c>
      <c r="D155" s="33">
        <f>IF(Pay_Num&lt;&gt;"",Scheduled_Monthly_Payment,"")</f>
        <v>26333.835431927764</v>
      </c>
      <c r="E155" s="34">
        <f>IF(AND(Pay_Num&lt;&gt;"",Sched_Pay+Scheduled_Extra_Payments&lt;Beg_Bal),Scheduled_Extra_Payments,IF(AND(Pay_Num&lt;&gt;"",Beg_Bal-Sched_Pay&gt;0),Beg_Bal-Sched_Pay,IF(Pay_Num&lt;&gt;"",0,"")))</f>
        <v>0</v>
      </c>
      <c r="F155" s="33">
        <f>IF(AND(Pay_Num&lt;&gt;"",Sched_Pay+Extra_Pay&lt;Beg_Bal),Sched_Pay+Extra_Pay,IF(Pay_Num&lt;&gt;"",Beg_Bal,""))</f>
        <v>0</v>
      </c>
      <c r="G155" s="33">
        <f>IF(Pay_Num&lt;&gt;"",Total_Pay-Int,"")</f>
        <v>0</v>
      </c>
      <c r="H155" s="33">
        <f>IF(Pay_Num&lt;&gt;"",Beg_Bal*Interest_Rate/Num_Pmt_Per_Year,"")</f>
        <v>0</v>
      </c>
      <c r="I155" s="33">
        <f>IF(AND(Pay_Num&lt;&gt;"",Sched_Pay+Extra_Pay&lt;Beg_Bal),Beg_Bal-Princ,IF(Pay_Num&lt;&gt;"",0,""))</f>
        <v>0</v>
      </c>
      <c r="J155" s="33">
        <f>SUM($H$18:$H155)</f>
        <v>264024.10073253291</v>
      </c>
    </row>
    <row r="156" spans="1:10" x14ac:dyDescent="0.3">
      <c r="A156" s="36">
        <f>IF(Values_Entered,A155+1,"")</f>
        <v>139</v>
      </c>
      <c r="B156" s="35">
        <f>IF(Pay_Num&lt;&gt;"",DATE(YEAR(Loan_Start),MONTH(Loan_Start)+(Pay_Num)*12/Num_Pmt_Per_Year,DAY(Loan_Start)),"")</f>
        <v>49614</v>
      </c>
      <c r="C156" s="33">
        <f>IF(Pay_Num&lt;&gt;"",I155,"")</f>
        <v>0</v>
      </c>
      <c r="D156" s="33">
        <f>IF(Pay_Num&lt;&gt;"",Scheduled_Monthly_Payment,"")</f>
        <v>26333.835431927764</v>
      </c>
      <c r="E156" s="34">
        <f>IF(AND(Pay_Num&lt;&gt;"",Sched_Pay+Scheduled_Extra_Payments&lt;Beg_Bal),Scheduled_Extra_Payments,IF(AND(Pay_Num&lt;&gt;"",Beg_Bal-Sched_Pay&gt;0),Beg_Bal-Sched_Pay,IF(Pay_Num&lt;&gt;"",0,"")))</f>
        <v>0</v>
      </c>
      <c r="F156" s="33">
        <f>IF(AND(Pay_Num&lt;&gt;"",Sched_Pay+Extra_Pay&lt;Beg_Bal),Sched_Pay+Extra_Pay,IF(Pay_Num&lt;&gt;"",Beg_Bal,""))</f>
        <v>0</v>
      </c>
      <c r="G156" s="33">
        <f>IF(Pay_Num&lt;&gt;"",Total_Pay-Int,"")</f>
        <v>0</v>
      </c>
      <c r="H156" s="33">
        <f>IF(Pay_Num&lt;&gt;"",Beg_Bal*Interest_Rate/Num_Pmt_Per_Year,"")</f>
        <v>0</v>
      </c>
      <c r="I156" s="33">
        <f>IF(AND(Pay_Num&lt;&gt;"",Sched_Pay+Extra_Pay&lt;Beg_Bal),Beg_Bal-Princ,IF(Pay_Num&lt;&gt;"",0,""))</f>
        <v>0</v>
      </c>
      <c r="J156" s="33">
        <f>SUM($H$18:$H156)</f>
        <v>264024.10073253291</v>
      </c>
    </row>
    <row r="157" spans="1:10" x14ac:dyDescent="0.3">
      <c r="A157" s="36">
        <f>IF(Values_Entered,A156+1,"")</f>
        <v>140</v>
      </c>
      <c r="B157" s="35">
        <f>IF(Pay_Num&lt;&gt;"",DATE(YEAR(Loan_Start),MONTH(Loan_Start)+(Pay_Num)*12/Num_Pmt_Per_Year,DAY(Loan_Start)),"")</f>
        <v>49644</v>
      </c>
      <c r="C157" s="33">
        <f>IF(Pay_Num&lt;&gt;"",I156,"")</f>
        <v>0</v>
      </c>
      <c r="D157" s="33">
        <f>IF(Pay_Num&lt;&gt;"",Scheduled_Monthly_Payment,"")</f>
        <v>26333.835431927764</v>
      </c>
      <c r="E157" s="34">
        <f>IF(AND(Pay_Num&lt;&gt;"",Sched_Pay+Scheduled_Extra_Payments&lt;Beg_Bal),Scheduled_Extra_Payments,IF(AND(Pay_Num&lt;&gt;"",Beg_Bal-Sched_Pay&gt;0),Beg_Bal-Sched_Pay,IF(Pay_Num&lt;&gt;"",0,"")))</f>
        <v>0</v>
      </c>
      <c r="F157" s="33">
        <f>IF(AND(Pay_Num&lt;&gt;"",Sched_Pay+Extra_Pay&lt;Beg_Bal),Sched_Pay+Extra_Pay,IF(Pay_Num&lt;&gt;"",Beg_Bal,""))</f>
        <v>0</v>
      </c>
      <c r="G157" s="33">
        <f>IF(Pay_Num&lt;&gt;"",Total_Pay-Int,"")</f>
        <v>0</v>
      </c>
      <c r="H157" s="33">
        <f>IF(Pay_Num&lt;&gt;"",Beg_Bal*Interest_Rate/Num_Pmt_Per_Year,"")</f>
        <v>0</v>
      </c>
      <c r="I157" s="33">
        <f>IF(AND(Pay_Num&lt;&gt;"",Sched_Pay+Extra_Pay&lt;Beg_Bal),Beg_Bal-Princ,IF(Pay_Num&lt;&gt;"",0,""))</f>
        <v>0</v>
      </c>
      <c r="J157" s="33">
        <f>SUM($H$18:$H157)</f>
        <v>264024.10073253291</v>
      </c>
    </row>
    <row r="158" spans="1:10" x14ac:dyDescent="0.3">
      <c r="A158" s="36">
        <f>IF(Values_Entered,A157+1,"")</f>
        <v>141</v>
      </c>
      <c r="B158" s="35">
        <f>IF(Pay_Num&lt;&gt;"",DATE(YEAR(Loan_Start),MONTH(Loan_Start)+(Pay_Num)*12/Num_Pmt_Per_Year,DAY(Loan_Start)),"")</f>
        <v>49675</v>
      </c>
      <c r="C158" s="33">
        <f>IF(Pay_Num&lt;&gt;"",I157,"")</f>
        <v>0</v>
      </c>
      <c r="D158" s="33">
        <f>IF(Pay_Num&lt;&gt;"",Scheduled_Monthly_Payment,"")</f>
        <v>26333.835431927764</v>
      </c>
      <c r="E158" s="34">
        <f>IF(AND(Pay_Num&lt;&gt;"",Sched_Pay+Scheduled_Extra_Payments&lt;Beg_Bal),Scheduled_Extra_Payments,IF(AND(Pay_Num&lt;&gt;"",Beg_Bal-Sched_Pay&gt;0),Beg_Bal-Sched_Pay,IF(Pay_Num&lt;&gt;"",0,"")))</f>
        <v>0</v>
      </c>
      <c r="F158" s="33">
        <f>IF(AND(Pay_Num&lt;&gt;"",Sched_Pay+Extra_Pay&lt;Beg_Bal),Sched_Pay+Extra_Pay,IF(Pay_Num&lt;&gt;"",Beg_Bal,""))</f>
        <v>0</v>
      </c>
      <c r="G158" s="33">
        <f>IF(Pay_Num&lt;&gt;"",Total_Pay-Int,"")</f>
        <v>0</v>
      </c>
      <c r="H158" s="33">
        <f>IF(Pay_Num&lt;&gt;"",Beg_Bal*Interest_Rate/Num_Pmt_Per_Year,"")</f>
        <v>0</v>
      </c>
      <c r="I158" s="33">
        <f>IF(AND(Pay_Num&lt;&gt;"",Sched_Pay+Extra_Pay&lt;Beg_Bal),Beg_Bal-Princ,IF(Pay_Num&lt;&gt;"",0,""))</f>
        <v>0</v>
      </c>
      <c r="J158" s="33">
        <f>SUM($H$18:$H158)</f>
        <v>264024.10073253291</v>
      </c>
    </row>
    <row r="159" spans="1:10" x14ac:dyDescent="0.3">
      <c r="A159" s="36">
        <f>IF(Values_Entered,A158+1,"")</f>
        <v>142</v>
      </c>
      <c r="B159" s="35">
        <f>IF(Pay_Num&lt;&gt;"",DATE(YEAR(Loan_Start),MONTH(Loan_Start)+(Pay_Num)*12/Num_Pmt_Per_Year,DAY(Loan_Start)),"")</f>
        <v>49706</v>
      </c>
      <c r="C159" s="33">
        <f>IF(Pay_Num&lt;&gt;"",I158,"")</f>
        <v>0</v>
      </c>
      <c r="D159" s="33">
        <f>IF(Pay_Num&lt;&gt;"",Scheduled_Monthly_Payment,"")</f>
        <v>26333.835431927764</v>
      </c>
      <c r="E159" s="34">
        <f>IF(AND(Pay_Num&lt;&gt;"",Sched_Pay+Scheduled_Extra_Payments&lt;Beg_Bal),Scheduled_Extra_Payments,IF(AND(Pay_Num&lt;&gt;"",Beg_Bal-Sched_Pay&gt;0),Beg_Bal-Sched_Pay,IF(Pay_Num&lt;&gt;"",0,"")))</f>
        <v>0</v>
      </c>
      <c r="F159" s="33">
        <f>IF(AND(Pay_Num&lt;&gt;"",Sched_Pay+Extra_Pay&lt;Beg_Bal),Sched_Pay+Extra_Pay,IF(Pay_Num&lt;&gt;"",Beg_Bal,""))</f>
        <v>0</v>
      </c>
      <c r="G159" s="33">
        <f>IF(Pay_Num&lt;&gt;"",Total_Pay-Int,"")</f>
        <v>0</v>
      </c>
      <c r="H159" s="33">
        <f>IF(Pay_Num&lt;&gt;"",Beg_Bal*Interest_Rate/Num_Pmt_Per_Year,"")</f>
        <v>0</v>
      </c>
      <c r="I159" s="33">
        <f>IF(AND(Pay_Num&lt;&gt;"",Sched_Pay+Extra_Pay&lt;Beg_Bal),Beg_Bal-Princ,IF(Pay_Num&lt;&gt;"",0,""))</f>
        <v>0</v>
      </c>
      <c r="J159" s="33">
        <f>SUM($H$18:$H159)</f>
        <v>264024.10073253291</v>
      </c>
    </row>
    <row r="160" spans="1:10" x14ac:dyDescent="0.3">
      <c r="A160" s="36">
        <f>IF(Values_Entered,A159+1,"")</f>
        <v>143</v>
      </c>
      <c r="B160" s="35">
        <f>IF(Pay_Num&lt;&gt;"",DATE(YEAR(Loan_Start),MONTH(Loan_Start)+(Pay_Num)*12/Num_Pmt_Per_Year,DAY(Loan_Start)),"")</f>
        <v>49735</v>
      </c>
      <c r="C160" s="33">
        <f>IF(Pay_Num&lt;&gt;"",I159,"")</f>
        <v>0</v>
      </c>
      <c r="D160" s="33">
        <f>IF(Pay_Num&lt;&gt;"",Scheduled_Monthly_Payment,"")</f>
        <v>26333.835431927764</v>
      </c>
      <c r="E160" s="34">
        <f>IF(AND(Pay_Num&lt;&gt;"",Sched_Pay+Scheduled_Extra_Payments&lt;Beg_Bal),Scheduled_Extra_Payments,IF(AND(Pay_Num&lt;&gt;"",Beg_Bal-Sched_Pay&gt;0),Beg_Bal-Sched_Pay,IF(Pay_Num&lt;&gt;"",0,"")))</f>
        <v>0</v>
      </c>
      <c r="F160" s="33">
        <f>IF(AND(Pay_Num&lt;&gt;"",Sched_Pay+Extra_Pay&lt;Beg_Bal),Sched_Pay+Extra_Pay,IF(Pay_Num&lt;&gt;"",Beg_Bal,""))</f>
        <v>0</v>
      </c>
      <c r="G160" s="33">
        <f>IF(Pay_Num&lt;&gt;"",Total_Pay-Int,"")</f>
        <v>0</v>
      </c>
      <c r="H160" s="33">
        <f>IF(Pay_Num&lt;&gt;"",Beg_Bal*Interest_Rate/Num_Pmt_Per_Year,"")</f>
        <v>0</v>
      </c>
      <c r="I160" s="33">
        <f>IF(AND(Pay_Num&lt;&gt;"",Sched_Pay+Extra_Pay&lt;Beg_Bal),Beg_Bal-Princ,IF(Pay_Num&lt;&gt;"",0,""))</f>
        <v>0</v>
      </c>
      <c r="J160" s="33">
        <f>SUM($H$18:$H160)</f>
        <v>264024.10073253291</v>
      </c>
    </row>
    <row r="161" spans="1:10" x14ac:dyDescent="0.3">
      <c r="A161" s="36">
        <f>IF(Values_Entered,A160+1,"")</f>
        <v>144</v>
      </c>
      <c r="B161" s="35">
        <f>IF(Pay_Num&lt;&gt;"",DATE(YEAR(Loan_Start),MONTH(Loan_Start)+(Pay_Num)*12/Num_Pmt_Per_Year,DAY(Loan_Start)),"")</f>
        <v>49766</v>
      </c>
      <c r="C161" s="33">
        <f>IF(Pay_Num&lt;&gt;"",I160,"")</f>
        <v>0</v>
      </c>
      <c r="D161" s="33">
        <f>IF(Pay_Num&lt;&gt;"",Scheduled_Monthly_Payment,"")</f>
        <v>26333.835431927764</v>
      </c>
      <c r="E161" s="34">
        <f>IF(AND(Pay_Num&lt;&gt;"",Sched_Pay+Scheduled_Extra_Payments&lt;Beg_Bal),Scheduled_Extra_Payments,IF(AND(Pay_Num&lt;&gt;"",Beg_Bal-Sched_Pay&gt;0),Beg_Bal-Sched_Pay,IF(Pay_Num&lt;&gt;"",0,"")))</f>
        <v>0</v>
      </c>
      <c r="F161" s="33">
        <f>IF(AND(Pay_Num&lt;&gt;"",Sched_Pay+Extra_Pay&lt;Beg_Bal),Sched_Pay+Extra_Pay,IF(Pay_Num&lt;&gt;"",Beg_Bal,""))</f>
        <v>0</v>
      </c>
      <c r="G161" s="33">
        <f>IF(Pay_Num&lt;&gt;"",Total_Pay-Int,"")</f>
        <v>0</v>
      </c>
      <c r="H161" s="33">
        <f>IF(Pay_Num&lt;&gt;"",Beg_Bal*Interest_Rate/Num_Pmt_Per_Year,"")</f>
        <v>0</v>
      </c>
      <c r="I161" s="33">
        <f>IF(AND(Pay_Num&lt;&gt;"",Sched_Pay+Extra_Pay&lt;Beg_Bal),Beg_Bal-Princ,IF(Pay_Num&lt;&gt;"",0,""))</f>
        <v>0</v>
      </c>
      <c r="J161" s="33">
        <f>SUM($H$18:$H161)</f>
        <v>264024.10073253291</v>
      </c>
    </row>
    <row r="162" spans="1:10" x14ac:dyDescent="0.3">
      <c r="A162" s="36">
        <f>IF(Values_Entered,A161+1,"")</f>
        <v>145</v>
      </c>
      <c r="B162" s="35">
        <f>IF(Pay_Num&lt;&gt;"",DATE(YEAR(Loan_Start),MONTH(Loan_Start)+(Pay_Num)*12/Num_Pmt_Per_Year,DAY(Loan_Start)),"")</f>
        <v>49796</v>
      </c>
      <c r="C162" s="33">
        <f>IF(Pay_Num&lt;&gt;"",I161,"")</f>
        <v>0</v>
      </c>
      <c r="D162" s="33">
        <f>IF(Pay_Num&lt;&gt;"",Scheduled_Monthly_Payment,"")</f>
        <v>26333.835431927764</v>
      </c>
      <c r="E162" s="34">
        <f>IF(AND(Pay_Num&lt;&gt;"",Sched_Pay+Scheduled_Extra_Payments&lt;Beg_Bal),Scheduled_Extra_Payments,IF(AND(Pay_Num&lt;&gt;"",Beg_Bal-Sched_Pay&gt;0),Beg_Bal-Sched_Pay,IF(Pay_Num&lt;&gt;"",0,"")))</f>
        <v>0</v>
      </c>
      <c r="F162" s="33">
        <f>IF(AND(Pay_Num&lt;&gt;"",Sched_Pay+Extra_Pay&lt;Beg_Bal),Sched_Pay+Extra_Pay,IF(Pay_Num&lt;&gt;"",Beg_Bal,""))</f>
        <v>0</v>
      </c>
      <c r="G162" s="33">
        <f>IF(Pay_Num&lt;&gt;"",Total_Pay-Int,"")</f>
        <v>0</v>
      </c>
      <c r="H162" s="33">
        <f>IF(Pay_Num&lt;&gt;"",Beg_Bal*Interest_Rate/Num_Pmt_Per_Year,"")</f>
        <v>0</v>
      </c>
      <c r="I162" s="33">
        <f>IF(AND(Pay_Num&lt;&gt;"",Sched_Pay+Extra_Pay&lt;Beg_Bal),Beg_Bal-Princ,IF(Pay_Num&lt;&gt;"",0,""))</f>
        <v>0</v>
      </c>
      <c r="J162" s="33">
        <f>SUM($H$18:$H162)</f>
        <v>264024.10073253291</v>
      </c>
    </row>
    <row r="163" spans="1:10" x14ac:dyDescent="0.3">
      <c r="A163" s="36">
        <f>IF(Values_Entered,A162+1,"")</f>
        <v>146</v>
      </c>
      <c r="B163" s="35">
        <f>IF(Pay_Num&lt;&gt;"",DATE(YEAR(Loan_Start),MONTH(Loan_Start)+(Pay_Num)*12/Num_Pmt_Per_Year,DAY(Loan_Start)),"")</f>
        <v>49827</v>
      </c>
      <c r="C163" s="33">
        <f>IF(Pay_Num&lt;&gt;"",I162,"")</f>
        <v>0</v>
      </c>
      <c r="D163" s="33">
        <f>IF(Pay_Num&lt;&gt;"",Scheduled_Monthly_Payment,"")</f>
        <v>26333.835431927764</v>
      </c>
      <c r="E163" s="34">
        <f>IF(AND(Pay_Num&lt;&gt;"",Sched_Pay+Scheduled_Extra_Payments&lt;Beg_Bal),Scheduled_Extra_Payments,IF(AND(Pay_Num&lt;&gt;"",Beg_Bal-Sched_Pay&gt;0),Beg_Bal-Sched_Pay,IF(Pay_Num&lt;&gt;"",0,"")))</f>
        <v>0</v>
      </c>
      <c r="F163" s="33">
        <f>IF(AND(Pay_Num&lt;&gt;"",Sched_Pay+Extra_Pay&lt;Beg_Bal),Sched_Pay+Extra_Pay,IF(Pay_Num&lt;&gt;"",Beg_Bal,""))</f>
        <v>0</v>
      </c>
      <c r="G163" s="33">
        <f>IF(Pay_Num&lt;&gt;"",Total_Pay-Int,"")</f>
        <v>0</v>
      </c>
      <c r="H163" s="33">
        <f>IF(Pay_Num&lt;&gt;"",Beg_Bal*Interest_Rate/Num_Pmt_Per_Year,"")</f>
        <v>0</v>
      </c>
      <c r="I163" s="33">
        <f>IF(AND(Pay_Num&lt;&gt;"",Sched_Pay+Extra_Pay&lt;Beg_Bal),Beg_Bal-Princ,IF(Pay_Num&lt;&gt;"",0,""))</f>
        <v>0</v>
      </c>
      <c r="J163" s="33">
        <f>SUM($H$18:$H163)</f>
        <v>264024.10073253291</v>
      </c>
    </row>
    <row r="164" spans="1:10" x14ac:dyDescent="0.3">
      <c r="A164" s="36">
        <f>IF(Values_Entered,A163+1,"")</f>
        <v>147</v>
      </c>
      <c r="B164" s="35">
        <f>IF(Pay_Num&lt;&gt;"",DATE(YEAR(Loan_Start),MONTH(Loan_Start)+(Pay_Num)*12/Num_Pmt_Per_Year,DAY(Loan_Start)),"")</f>
        <v>49857</v>
      </c>
      <c r="C164" s="33">
        <f>IF(Pay_Num&lt;&gt;"",I163,"")</f>
        <v>0</v>
      </c>
      <c r="D164" s="33">
        <f>IF(Pay_Num&lt;&gt;"",Scheduled_Monthly_Payment,"")</f>
        <v>26333.835431927764</v>
      </c>
      <c r="E164" s="34">
        <f>IF(AND(Pay_Num&lt;&gt;"",Sched_Pay+Scheduled_Extra_Payments&lt;Beg_Bal),Scheduled_Extra_Payments,IF(AND(Pay_Num&lt;&gt;"",Beg_Bal-Sched_Pay&gt;0),Beg_Bal-Sched_Pay,IF(Pay_Num&lt;&gt;"",0,"")))</f>
        <v>0</v>
      </c>
      <c r="F164" s="33">
        <f>IF(AND(Pay_Num&lt;&gt;"",Sched_Pay+Extra_Pay&lt;Beg_Bal),Sched_Pay+Extra_Pay,IF(Pay_Num&lt;&gt;"",Beg_Bal,""))</f>
        <v>0</v>
      </c>
      <c r="G164" s="33">
        <f>IF(Pay_Num&lt;&gt;"",Total_Pay-Int,"")</f>
        <v>0</v>
      </c>
      <c r="H164" s="33">
        <f>IF(Pay_Num&lt;&gt;"",Beg_Bal*Interest_Rate/Num_Pmt_Per_Year,"")</f>
        <v>0</v>
      </c>
      <c r="I164" s="33">
        <f>IF(AND(Pay_Num&lt;&gt;"",Sched_Pay+Extra_Pay&lt;Beg_Bal),Beg_Bal-Princ,IF(Pay_Num&lt;&gt;"",0,""))</f>
        <v>0</v>
      </c>
      <c r="J164" s="33">
        <f>SUM($H$18:$H164)</f>
        <v>264024.10073253291</v>
      </c>
    </row>
    <row r="165" spans="1:10" x14ac:dyDescent="0.3">
      <c r="A165" s="36">
        <f>IF(Values_Entered,A164+1,"")</f>
        <v>148</v>
      </c>
      <c r="B165" s="35">
        <f>IF(Pay_Num&lt;&gt;"",DATE(YEAR(Loan_Start),MONTH(Loan_Start)+(Pay_Num)*12/Num_Pmt_Per_Year,DAY(Loan_Start)),"")</f>
        <v>49888</v>
      </c>
      <c r="C165" s="33">
        <f>IF(Pay_Num&lt;&gt;"",I164,"")</f>
        <v>0</v>
      </c>
      <c r="D165" s="33">
        <f>IF(Pay_Num&lt;&gt;"",Scheduled_Monthly_Payment,"")</f>
        <v>26333.835431927764</v>
      </c>
      <c r="E165" s="34">
        <f>IF(AND(Pay_Num&lt;&gt;"",Sched_Pay+Scheduled_Extra_Payments&lt;Beg_Bal),Scheduled_Extra_Payments,IF(AND(Pay_Num&lt;&gt;"",Beg_Bal-Sched_Pay&gt;0),Beg_Bal-Sched_Pay,IF(Pay_Num&lt;&gt;"",0,"")))</f>
        <v>0</v>
      </c>
      <c r="F165" s="33">
        <f>IF(AND(Pay_Num&lt;&gt;"",Sched_Pay+Extra_Pay&lt;Beg_Bal),Sched_Pay+Extra_Pay,IF(Pay_Num&lt;&gt;"",Beg_Bal,""))</f>
        <v>0</v>
      </c>
      <c r="G165" s="33">
        <f>IF(Pay_Num&lt;&gt;"",Total_Pay-Int,"")</f>
        <v>0</v>
      </c>
      <c r="H165" s="33">
        <f>IF(Pay_Num&lt;&gt;"",Beg_Bal*Interest_Rate/Num_Pmt_Per_Year,"")</f>
        <v>0</v>
      </c>
      <c r="I165" s="33">
        <f>IF(AND(Pay_Num&lt;&gt;"",Sched_Pay+Extra_Pay&lt;Beg_Bal),Beg_Bal-Princ,IF(Pay_Num&lt;&gt;"",0,""))</f>
        <v>0</v>
      </c>
      <c r="J165" s="33">
        <f>SUM($H$18:$H165)</f>
        <v>264024.10073253291</v>
      </c>
    </row>
    <row r="166" spans="1:10" x14ac:dyDescent="0.3">
      <c r="A166" s="36">
        <f>IF(Values_Entered,A165+1,"")</f>
        <v>149</v>
      </c>
      <c r="B166" s="35">
        <f>IF(Pay_Num&lt;&gt;"",DATE(YEAR(Loan_Start),MONTH(Loan_Start)+(Pay_Num)*12/Num_Pmt_Per_Year,DAY(Loan_Start)),"")</f>
        <v>49919</v>
      </c>
      <c r="C166" s="33">
        <f>IF(Pay_Num&lt;&gt;"",I165,"")</f>
        <v>0</v>
      </c>
      <c r="D166" s="33">
        <f>IF(Pay_Num&lt;&gt;"",Scheduled_Monthly_Payment,"")</f>
        <v>26333.835431927764</v>
      </c>
      <c r="E166" s="34">
        <f>IF(AND(Pay_Num&lt;&gt;"",Sched_Pay+Scheduled_Extra_Payments&lt;Beg_Bal),Scheduled_Extra_Payments,IF(AND(Pay_Num&lt;&gt;"",Beg_Bal-Sched_Pay&gt;0),Beg_Bal-Sched_Pay,IF(Pay_Num&lt;&gt;"",0,"")))</f>
        <v>0</v>
      </c>
      <c r="F166" s="33">
        <f>IF(AND(Pay_Num&lt;&gt;"",Sched_Pay+Extra_Pay&lt;Beg_Bal),Sched_Pay+Extra_Pay,IF(Pay_Num&lt;&gt;"",Beg_Bal,""))</f>
        <v>0</v>
      </c>
      <c r="G166" s="33">
        <f>IF(Pay_Num&lt;&gt;"",Total_Pay-Int,"")</f>
        <v>0</v>
      </c>
      <c r="H166" s="33">
        <f>IF(Pay_Num&lt;&gt;"",Beg_Bal*Interest_Rate/Num_Pmt_Per_Year,"")</f>
        <v>0</v>
      </c>
      <c r="I166" s="33">
        <f>IF(AND(Pay_Num&lt;&gt;"",Sched_Pay+Extra_Pay&lt;Beg_Bal),Beg_Bal-Princ,IF(Pay_Num&lt;&gt;"",0,""))</f>
        <v>0</v>
      </c>
      <c r="J166" s="33">
        <f>SUM($H$18:$H166)</f>
        <v>264024.10073253291</v>
      </c>
    </row>
    <row r="167" spans="1:10" x14ac:dyDescent="0.3">
      <c r="A167" s="36">
        <f>IF(Values_Entered,A166+1,"")</f>
        <v>150</v>
      </c>
      <c r="B167" s="35">
        <f>IF(Pay_Num&lt;&gt;"",DATE(YEAR(Loan_Start),MONTH(Loan_Start)+(Pay_Num)*12/Num_Pmt_Per_Year,DAY(Loan_Start)),"")</f>
        <v>49949</v>
      </c>
      <c r="C167" s="33">
        <f>IF(Pay_Num&lt;&gt;"",I166,"")</f>
        <v>0</v>
      </c>
      <c r="D167" s="33">
        <f>IF(Pay_Num&lt;&gt;"",Scheduled_Monthly_Payment,"")</f>
        <v>26333.835431927764</v>
      </c>
      <c r="E167" s="34">
        <f>IF(AND(Pay_Num&lt;&gt;"",Sched_Pay+Scheduled_Extra_Payments&lt;Beg_Bal),Scheduled_Extra_Payments,IF(AND(Pay_Num&lt;&gt;"",Beg_Bal-Sched_Pay&gt;0),Beg_Bal-Sched_Pay,IF(Pay_Num&lt;&gt;"",0,"")))</f>
        <v>0</v>
      </c>
      <c r="F167" s="33">
        <f>IF(AND(Pay_Num&lt;&gt;"",Sched_Pay+Extra_Pay&lt;Beg_Bal),Sched_Pay+Extra_Pay,IF(Pay_Num&lt;&gt;"",Beg_Bal,""))</f>
        <v>0</v>
      </c>
      <c r="G167" s="33">
        <f>IF(Pay_Num&lt;&gt;"",Total_Pay-Int,"")</f>
        <v>0</v>
      </c>
      <c r="H167" s="33">
        <f>IF(Pay_Num&lt;&gt;"",Beg_Bal*Interest_Rate/Num_Pmt_Per_Year,"")</f>
        <v>0</v>
      </c>
      <c r="I167" s="33">
        <f>IF(AND(Pay_Num&lt;&gt;"",Sched_Pay+Extra_Pay&lt;Beg_Bal),Beg_Bal-Princ,IF(Pay_Num&lt;&gt;"",0,""))</f>
        <v>0</v>
      </c>
      <c r="J167" s="33">
        <f>SUM($H$18:$H167)</f>
        <v>264024.10073253291</v>
      </c>
    </row>
    <row r="168" spans="1:10" x14ac:dyDescent="0.3">
      <c r="A168" s="36">
        <f>IF(Values_Entered,A167+1,"")</f>
        <v>151</v>
      </c>
      <c r="B168" s="35">
        <f>IF(Pay_Num&lt;&gt;"",DATE(YEAR(Loan_Start),MONTH(Loan_Start)+(Pay_Num)*12/Num_Pmt_Per_Year,DAY(Loan_Start)),"")</f>
        <v>49980</v>
      </c>
      <c r="C168" s="33">
        <f>IF(Pay_Num&lt;&gt;"",I167,"")</f>
        <v>0</v>
      </c>
      <c r="D168" s="33">
        <f>IF(Pay_Num&lt;&gt;"",Scheduled_Monthly_Payment,"")</f>
        <v>26333.835431927764</v>
      </c>
      <c r="E168" s="34">
        <f>IF(AND(Pay_Num&lt;&gt;"",Sched_Pay+Scheduled_Extra_Payments&lt;Beg_Bal),Scheduled_Extra_Payments,IF(AND(Pay_Num&lt;&gt;"",Beg_Bal-Sched_Pay&gt;0),Beg_Bal-Sched_Pay,IF(Pay_Num&lt;&gt;"",0,"")))</f>
        <v>0</v>
      </c>
      <c r="F168" s="33">
        <f>IF(AND(Pay_Num&lt;&gt;"",Sched_Pay+Extra_Pay&lt;Beg_Bal),Sched_Pay+Extra_Pay,IF(Pay_Num&lt;&gt;"",Beg_Bal,""))</f>
        <v>0</v>
      </c>
      <c r="G168" s="33">
        <f>IF(Pay_Num&lt;&gt;"",Total_Pay-Int,"")</f>
        <v>0</v>
      </c>
      <c r="H168" s="33">
        <f>IF(Pay_Num&lt;&gt;"",Beg_Bal*Interest_Rate/Num_Pmt_Per_Year,"")</f>
        <v>0</v>
      </c>
      <c r="I168" s="33">
        <f>IF(AND(Pay_Num&lt;&gt;"",Sched_Pay+Extra_Pay&lt;Beg_Bal),Beg_Bal-Princ,IF(Pay_Num&lt;&gt;"",0,""))</f>
        <v>0</v>
      </c>
      <c r="J168" s="33">
        <f>SUM($H$18:$H168)</f>
        <v>264024.10073253291</v>
      </c>
    </row>
    <row r="169" spans="1:10" x14ac:dyDescent="0.3">
      <c r="A169" s="36">
        <f>IF(Values_Entered,A168+1,"")</f>
        <v>152</v>
      </c>
      <c r="B169" s="35">
        <f>IF(Pay_Num&lt;&gt;"",DATE(YEAR(Loan_Start),MONTH(Loan_Start)+(Pay_Num)*12/Num_Pmt_Per_Year,DAY(Loan_Start)),"")</f>
        <v>50010</v>
      </c>
      <c r="C169" s="33">
        <f>IF(Pay_Num&lt;&gt;"",I168,"")</f>
        <v>0</v>
      </c>
      <c r="D169" s="33">
        <f>IF(Pay_Num&lt;&gt;"",Scheduled_Monthly_Payment,"")</f>
        <v>26333.835431927764</v>
      </c>
      <c r="E169" s="34">
        <f>IF(AND(Pay_Num&lt;&gt;"",Sched_Pay+Scheduled_Extra_Payments&lt;Beg_Bal),Scheduled_Extra_Payments,IF(AND(Pay_Num&lt;&gt;"",Beg_Bal-Sched_Pay&gt;0),Beg_Bal-Sched_Pay,IF(Pay_Num&lt;&gt;"",0,"")))</f>
        <v>0</v>
      </c>
      <c r="F169" s="33">
        <f>IF(AND(Pay_Num&lt;&gt;"",Sched_Pay+Extra_Pay&lt;Beg_Bal),Sched_Pay+Extra_Pay,IF(Pay_Num&lt;&gt;"",Beg_Bal,""))</f>
        <v>0</v>
      </c>
      <c r="G169" s="33">
        <f>IF(Pay_Num&lt;&gt;"",Total_Pay-Int,"")</f>
        <v>0</v>
      </c>
      <c r="H169" s="33">
        <f>IF(Pay_Num&lt;&gt;"",Beg_Bal*Interest_Rate/Num_Pmt_Per_Year,"")</f>
        <v>0</v>
      </c>
      <c r="I169" s="33">
        <f>IF(AND(Pay_Num&lt;&gt;"",Sched_Pay+Extra_Pay&lt;Beg_Bal),Beg_Bal-Princ,IF(Pay_Num&lt;&gt;"",0,""))</f>
        <v>0</v>
      </c>
      <c r="J169" s="33">
        <f>SUM($H$18:$H169)</f>
        <v>264024.10073253291</v>
      </c>
    </row>
    <row r="170" spans="1:10" x14ac:dyDescent="0.3">
      <c r="A170" s="36">
        <f>IF(Values_Entered,A169+1,"")</f>
        <v>153</v>
      </c>
      <c r="B170" s="35">
        <f>IF(Pay_Num&lt;&gt;"",DATE(YEAR(Loan_Start),MONTH(Loan_Start)+(Pay_Num)*12/Num_Pmt_Per_Year,DAY(Loan_Start)),"")</f>
        <v>50041</v>
      </c>
      <c r="C170" s="33">
        <f>IF(Pay_Num&lt;&gt;"",I169,"")</f>
        <v>0</v>
      </c>
      <c r="D170" s="33">
        <f>IF(Pay_Num&lt;&gt;"",Scheduled_Monthly_Payment,"")</f>
        <v>26333.835431927764</v>
      </c>
      <c r="E170" s="34">
        <f>IF(AND(Pay_Num&lt;&gt;"",Sched_Pay+Scheduled_Extra_Payments&lt;Beg_Bal),Scheduled_Extra_Payments,IF(AND(Pay_Num&lt;&gt;"",Beg_Bal-Sched_Pay&gt;0),Beg_Bal-Sched_Pay,IF(Pay_Num&lt;&gt;"",0,"")))</f>
        <v>0</v>
      </c>
      <c r="F170" s="33">
        <f>IF(AND(Pay_Num&lt;&gt;"",Sched_Pay+Extra_Pay&lt;Beg_Bal),Sched_Pay+Extra_Pay,IF(Pay_Num&lt;&gt;"",Beg_Bal,""))</f>
        <v>0</v>
      </c>
      <c r="G170" s="33">
        <f>IF(Pay_Num&lt;&gt;"",Total_Pay-Int,"")</f>
        <v>0</v>
      </c>
      <c r="H170" s="33">
        <f>IF(Pay_Num&lt;&gt;"",Beg_Bal*Interest_Rate/Num_Pmt_Per_Year,"")</f>
        <v>0</v>
      </c>
      <c r="I170" s="33">
        <f>IF(AND(Pay_Num&lt;&gt;"",Sched_Pay+Extra_Pay&lt;Beg_Bal),Beg_Bal-Princ,IF(Pay_Num&lt;&gt;"",0,""))</f>
        <v>0</v>
      </c>
      <c r="J170" s="33">
        <f>SUM($H$18:$H170)</f>
        <v>264024.10073253291</v>
      </c>
    </row>
    <row r="171" spans="1:10" x14ac:dyDescent="0.3">
      <c r="A171" s="36">
        <f>IF(Values_Entered,A170+1,"")</f>
        <v>154</v>
      </c>
      <c r="B171" s="35">
        <f>IF(Pay_Num&lt;&gt;"",DATE(YEAR(Loan_Start),MONTH(Loan_Start)+(Pay_Num)*12/Num_Pmt_Per_Year,DAY(Loan_Start)),"")</f>
        <v>50072</v>
      </c>
      <c r="C171" s="33">
        <f>IF(Pay_Num&lt;&gt;"",I170,"")</f>
        <v>0</v>
      </c>
      <c r="D171" s="33">
        <f>IF(Pay_Num&lt;&gt;"",Scheduled_Monthly_Payment,"")</f>
        <v>26333.835431927764</v>
      </c>
      <c r="E171" s="34">
        <f>IF(AND(Pay_Num&lt;&gt;"",Sched_Pay+Scheduled_Extra_Payments&lt;Beg_Bal),Scheduled_Extra_Payments,IF(AND(Pay_Num&lt;&gt;"",Beg_Bal-Sched_Pay&gt;0),Beg_Bal-Sched_Pay,IF(Pay_Num&lt;&gt;"",0,"")))</f>
        <v>0</v>
      </c>
      <c r="F171" s="33">
        <f>IF(AND(Pay_Num&lt;&gt;"",Sched_Pay+Extra_Pay&lt;Beg_Bal),Sched_Pay+Extra_Pay,IF(Pay_Num&lt;&gt;"",Beg_Bal,""))</f>
        <v>0</v>
      </c>
      <c r="G171" s="33">
        <f>IF(Pay_Num&lt;&gt;"",Total_Pay-Int,"")</f>
        <v>0</v>
      </c>
      <c r="H171" s="33">
        <f>IF(Pay_Num&lt;&gt;"",Beg_Bal*Interest_Rate/Num_Pmt_Per_Year,"")</f>
        <v>0</v>
      </c>
      <c r="I171" s="33">
        <f>IF(AND(Pay_Num&lt;&gt;"",Sched_Pay+Extra_Pay&lt;Beg_Bal),Beg_Bal-Princ,IF(Pay_Num&lt;&gt;"",0,""))</f>
        <v>0</v>
      </c>
      <c r="J171" s="33">
        <f>SUM($H$18:$H171)</f>
        <v>264024.10073253291</v>
      </c>
    </row>
    <row r="172" spans="1:10" x14ac:dyDescent="0.3">
      <c r="A172" s="36">
        <f>IF(Values_Entered,A171+1,"")</f>
        <v>155</v>
      </c>
      <c r="B172" s="35">
        <f>IF(Pay_Num&lt;&gt;"",DATE(YEAR(Loan_Start),MONTH(Loan_Start)+(Pay_Num)*12/Num_Pmt_Per_Year,DAY(Loan_Start)),"")</f>
        <v>50100</v>
      </c>
      <c r="C172" s="33">
        <f>IF(Pay_Num&lt;&gt;"",I171,"")</f>
        <v>0</v>
      </c>
      <c r="D172" s="33">
        <f>IF(Pay_Num&lt;&gt;"",Scheduled_Monthly_Payment,"")</f>
        <v>26333.835431927764</v>
      </c>
      <c r="E172" s="34">
        <f>IF(AND(Pay_Num&lt;&gt;"",Sched_Pay+Scheduled_Extra_Payments&lt;Beg_Bal),Scheduled_Extra_Payments,IF(AND(Pay_Num&lt;&gt;"",Beg_Bal-Sched_Pay&gt;0),Beg_Bal-Sched_Pay,IF(Pay_Num&lt;&gt;"",0,"")))</f>
        <v>0</v>
      </c>
      <c r="F172" s="33">
        <f>IF(AND(Pay_Num&lt;&gt;"",Sched_Pay+Extra_Pay&lt;Beg_Bal),Sched_Pay+Extra_Pay,IF(Pay_Num&lt;&gt;"",Beg_Bal,""))</f>
        <v>0</v>
      </c>
      <c r="G172" s="33">
        <f>IF(Pay_Num&lt;&gt;"",Total_Pay-Int,"")</f>
        <v>0</v>
      </c>
      <c r="H172" s="33">
        <f>IF(Pay_Num&lt;&gt;"",Beg_Bal*Interest_Rate/Num_Pmt_Per_Year,"")</f>
        <v>0</v>
      </c>
      <c r="I172" s="33">
        <f>IF(AND(Pay_Num&lt;&gt;"",Sched_Pay+Extra_Pay&lt;Beg_Bal),Beg_Bal-Princ,IF(Pay_Num&lt;&gt;"",0,""))</f>
        <v>0</v>
      </c>
      <c r="J172" s="33">
        <f>SUM($H$18:$H172)</f>
        <v>264024.10073253291</v>
      </c>
    </row>
    <row r="173" spans="1:10" x14ac:dyDescent="0.3">
      <c r="A173" s="36">
        <f>IF(Values_Entered,A172+1,"")</f>
        <v>156</v>
      </c>
      <c r="B173" s="35">
        <f>IF(Pay_Num&lt;&gt;"",DATE(YEAR(Loan_Start),MONTH(Loan_Start)+(Pay_Num)*12/Num_Pmt_Per_Year,DAY(Loan_Start)),"")</f>
        <v>50131</v>
      </c>
      <c r="C173" s="33">
        <f>IF(Pay_Num&lt;&gt;"",I172,"")</f>
        <v>0</v>
      </c>
      <c r="D173" s="33">
        <f>IF(Pay_Num&lt;&gt;"",Scheduled_Monthly_Payment,"")</f>
        <v>26333.835431927764</v>
      </c>
      <c r="E173" s="34">
        <f>IF(AND(Pay_Num&lt;&gt;"",Sched_Pay+Scheduled_Extra_Payments&lt;Beg_Bal),Scheduled_Extra_Payments,IF(AND(Pay_Num&lt;&gt;"",Beg_Bal-Sched_Pay&gt;0),Beg_Bal-Sched_Pay,IF(Pay_Num&lt;&gt;"",0,"")))</f>
        <v>0</v>
      </c>
      <c r="F173" s="33">
        <f>IF(AND(Pay_Num&lt;&gt;"",Sched_Pay+Extra_Pay&lt;Beg_Bal),Sched_Pay+Extra_Pay,IF(Pay_Num&lt;&gt;"",Beg_Bal,""))</f>
        <v>0</v>
      </c>
      <c r="G173" s="33">
        <f>IF(Pay_Num&lt;&gt;"",Total_Pay-Int,"")</f>
        <v>0</v>
      </c>
      <c r="H173" s="33">
        <f>IF(Pay_Num&lt;&gt;"",Beg_Bal*Interest_Rate/Num_Pmt_Per_Year,"")</f>
        <v>0</v>
      </c>
      <c r="I173" s="33">
        <f>IF(AND(Pay_Num&lt;&gt;"",Sched_Pay+Extra_Pay&lt;Beg_Bal),Beg_Bal-Princ,IF(Pay_Num&lt;&gt;"",0,""))</f>
        <v>0</v>
      </c>
      <c r="J173" s="33">
        <f>SUM($H$18:$H173)</f>
        <v>264024.10073253291</v>
      </c>
    </row>
    <row r="174" spans="1:10" x14ac:dyDescent="0.3">
      <c r="A174" s="36">
        <f>IF(Values_Entered,A173+1,"")</f>
        <v>157</v>
      </c>
      <c r="B174" s="35">
        <f>IF(Pay_Num&lt;&gt;"",DATE(YEAR(Loan_Start),MONTH(Loan_Start)+(Pay_Num)*12/Num_Pmt_Per_Year,DAY(Loan_Start)),"")</f>
        <v>50161</v>
      </c>
      <c r="C174" s="33">
        <f>IF(Pay_Num&lt;&gt;"",I173,"")</f>
        <v>0</v>
      </c>
      <c r="D174" s="33">
        <f>IF(Pay_Num&lt;&gt;"",Scheduled_Monthly_Payment,"")</f>
        <v>26333.835431927764</v>
      </c>
      <c r="E174" s="34">
        <f>IF(AND(Pay_Num&lt;&gt;"",Sched_Pay+Scheduled_Extra_Payments&lt;Beg_Bal),Scheduled_Extra_Payments,IF(AND(Pay_Num&lt;&gt;"",Beg_Bal-Sched_Pay&gt;0),Beg_Bal-Sched_Pay,IF(Pay_Num&lt;&gt;"",0,"")))</f>
        <v>0</v>
      </c>
      <c r="F174" s="33">
        <f>IF(AND(Pay_Num&lt;&gt;"",Sched_Pay+Extra_Pay&lt;Beg_Bal),Sched_Pay+Extra_Pay,IF(Pay_Num&lt;&gt;"",Beg_Bal,""))</f>
        <v>0</v>
      </c>
      <c r="G174" s="33">
        <f>IF(Pay_Num&lt;&gt;"",Total_Pay-Int,"")</f>
        <v>0</v>
      </c>
      <c r="H174" s="33">
        <f>IF(Pay_Num&lt;&gt;"",Beg_Bal*Interest_Rate/Num_Pmt_Per_Year,"")</f>
        <v>0</v>
      </c>
      <c r="I174" s="33">
        <f>IF(AND(Pay_Num&lt;&gt;"",Sched_Pay+Extra_Pay&lt;Beg_Bal),Beg_Bal-Princ,IF(Pay_Num&lt;&gt;"",0,""))</f>
        <v>0</v>
      </c>
      <c r="J174" s="33">
        <f>SUM($H$18:$H174)</f>
        <v>264024.10073253291</v>
      </c>
    </row>
    <row r="175" spans="1:10" x14ac:dyDescent="0.3">
      <c r="A175" s="36">
        <f>IF(Values_Entered,A174+1,"")</f>
        <v>158</v>
      </c>
      <c r="B175" s="35">
        <f>IF(Pay_Num&lt;&gt;"",DATE(YEAR(Loan_Start),MONTH(Loan_Start)+(Pay_Num)*12/Num_Pmt_Per_Year,DAY(Loan_Start)),"")</f>
        <v>50192</v>
      </c>
      <c r="C175" s="33">
        <f>IF(Pay_Num&lt;&gt;"",I174,"")</f>
        <v>0</v>
      </c>
      <c r="D175" s="33">
        <f>IF(Pay_Num&lt;&gt;"",Scheduled_Monthly_Payment,"")</f>
        <v>26333.835431927764</v>
      </c>
      <c r="E175" s="34">
        <f>IF(AND(Pay_Num&lt;&gt;"",Sched_Pay+Scheduled_Extra_Payments&lt;Beg_Bal),Scheduled_Extra_Payments,IF(AND(Pay_Num&lt;&gt;"",Beg_Bal-Sched_Pay&gt;0),Beg_Bal-Sched_Pay,IF(Pay_Num&lt;&gt;"",0,"")))</f>
        <v>0</v>
      </c>
      <c r="F175" s="33">
        <f>IF(AND(Pay_Num&lt;&gt;"",Sched_Pay+Extra_Pay&lt;Beg_Bal),Sched_Pay+Extra_Pay,IF(Pay_Num&lt;&gt;"",Beg_Bal,""))</f>
        <v>0</v>
      </c>
      <c r="G175" s="33">
        <f>IF(Pay_Num&lt;&gt;"",Total_Pay-Int,"")</f>
        <v>0</v>
      </c>
      <c r="H175" s="33">
        <f>IF(Pay_Num&lt;&gt;"",Beg_Bal*Interest_Rate/Num_Pmt_Per_Year,"")</f>
        <v>0</v>
      </c>
      <c r="I175" s="33">
        <f>IF(AND(Pay_Num&lt;&gt;"",Sched_Pay+Extra_Pay&lt;Beg_Bal),Beg_Bal-Princ,IF(Pay_Num&lt;&gt;"",0,""))</f>
        <v>0</v>
      </c>
      <c r="J175" s="33">
        <f>SUM($H$18:$H175)</f>
        <v>264024.10073253291</v>
      </c>
    </row>
    <row r="176" spans="1:10" x14ac:dyDescent="0.3">
      <c r="A176" s="36">
        <f>IF(Values_Entered,A175+1,"")</f>
        <v>159</v>
      </c>
      <c r="B176" s="35">
        <f>IF(Pay_Num&lt;&gt;"",DATE(YEAR(Loan_Start),MONTH(Loan_Start)+(Pay_Num)*12/Num_Pmt_Per_Year,DAY(Loan_Start)),"")</f>
        <v>50222</v>
      </c>
      <c r="C176" s="33">
        <f>IF(Pay_Num&lt;&gt;"",I175,"")</f>
        <v>0</v>
      </c>
      <c r="D176" s="33">
        <f>IF(Pay_Num&lt;&gt;"",Scheduled_Monthly_Payment,"")</f>
        <v>26333.835431927764</v>
      </c>
      <c r="E176" s="34">
        <f>IF(AND(Pay_Num&lt;&gt;"",Sched_Pay+Scheduled_Extra_Payments&lt;Beg_Bal),Scheduled_Extra_Payments,IF(AND(Pay_Num&lt;&gt;"",Beg_Bal-Sched_Pay&gt;0),Beg_Bal-Sched_Pay,IF(Pay_Num&lt;&gt;"",0,"")))</f>
        <v>0</v>
      </c>
      <c r="F176" s="33">
        <f>IF(AND(Pay_Num&lt;&gt;"",Sched_Pay+Extra_Pay&lt;Beg_Bal),Sched_Pay+Extra_Pay,IF(Pay_Num&lt;&gt;"",Beg_Bal,""))</f>
        <v>0</v>
      </c>
      <c r="G176" s="33">
        <f>IF(Pay_Num&lt;&gt;"",Total_Pay-Int,"")</f>
        <v>0</v>
      </c>
      <c r="H176" s="33">
        <f>IF(Pay_Num&lt;&gt;"",Beg_Bal*Interest_Rate/Num_Pmt_Per_Year,"")</f>
        <v>0</v>
      </c>
      <c r="I176" s="33">
        <f>IF(AND(Pay_Num&lt;&gt;"",Sched_Pay+Extra_Pay&lt;Beg_Bal),Beg_Bal-Princ,IF(Pay_Num&lt;&gt;"",0,""))</f>
        <v>0</v>
      </c>
      <c r="J176" s="33">
        <f>SUM($H$18:$H176)</f>
        <v>264024.10073253291</v>
      </c>
    </row>
    <row r="177" spans="1:10" x14ac:dyDescent="0.3">
      <c r="A177" s="36">
        <f>IF(Values_Entered,A176+1,"")</f>
        <v>160</v>
      </c>
      <c r="B177" s="35">
        <f>IF(Pay_Num&lt;&gt;"",DATE(YEAR(Loan_Start),MONTH(Loan_Start)+(Pay_Num)*12/Num_Pmt_Per_Year,DAY(Loan_Start)),"")</f>
        <v>50253</v>
      </c>
      <c r="C177" s="33">
        <f>IF(Pay_Num&lt;&gt;"",I176,"")</f>
        <v>0</v>
      </c>
      <c r="D177" s="33">
        <f>IF(Pay_Num&lt;&gt;"",Scheduled_Monthly_Payment,"")</f>
        <v>26333.835431927764</v>
      </c>
      <c r="E177" s="34">
        <f>IF(AND(Pay_Num&lt;&gt;"",Sched_Pay+Scheduled_Extra_Payments&lt;Beg_Bal),Scheduled_Extra_Payments,IF(AND(Pay_Num&lt;&gt;"",Beg_Bal-Sched_Pay&gt;0),Beg_Bal-Sched_Pay,IF(Pay_Num&lt;&gt;"",0,"")))</f>
        <v>0</v>
      </c>
      <c r="F177" s="33">
        <f>IF(AND(Pay_Num&lt;&gt;"",Sched_Pay+Extra_Pay&lt;Beg_Bal),Sched_Pay+Extra_Pay,IF(Pay_Num&lt;&gt;"",Beg_Bal,""))</f>
        <v>0</v>
      </c>
      <c r="G177" s="33">
        <f>IF(Pay_Num&lt;&gt;"",Total_Pay-Int,"")</f>
        <v>0</v>
      </c>
      <c r="H177" s="33">
        <f>IF(Pay_Num&lt;&gt;"",Beg_Bal*Interest_Rate/Num_Pmt_Per_Year,"")</f>
        <v>0</v>
      </c>
      <c r="I177" s="33">
        <f>IF(AND(Pay_Num&lt;&gt;"",Sched_Pay+Extra_Pay&lt;Beg_Bal),Beg_Bal-Princ,IF(Pay_Num&lt;&gt;"",0,""))</f>
        <v>0</v>
      </c>
      <c r="J177" s="33">
        <f>SUM($H$18:$H177)</f>
        <v>264024.10073253291</v>
      </c>
    </row>
    <row r="178" spans="1:10" x14ac:dyDescent="0.3">
      <c r="A178" s="36">
        <f>IF(Values_Entered,A177+1,"")</f>
        <v>161</v>
      </c>
      <c r="B178" s="35">
        <f>IF(Pay_Num&lt;&gt;"",DATE(YEAR(Loan_Start),MONTH(Loan_Start)+(Pay_Num)*12/Num_Pmt_Per_Year,DAY(Loan_Start)),"")</f>
        <v>50284</v>
      </c>
      <c r="C178" s="33">
        <f>IF(Pay_Num&lt;&gt;"",I177,"")</f>
        <v>0</v>
      </c>
      <c r="D178" s="33">
        <f>IF(Pay_Num&lt;&gt;"",Scheduled_Monthly_Payment,"")</f>
        <v>26333.835431927764</v>
      </c>
      <c r="E178" s="34">
        <f>IF(AND(Pay_Num&lt;&gt;"",Sched_Pay+Scheduled_Extra_Payments&lt;Beg_Bal),Scheduled_Extra_Payments,IF(AND(Pay_Num&lt;&gt;"",Beg_Bal-Sched_Pay&gt;0),Beg_Bal-Sched_Pay,IF(Pay_Num&lt;&gt;"",0,"")))</f>
        <v>0</v>
      </c>
      <c r="F178" s="33">
        <f>IF(AND(Pay_Num&lt;&gt;"",Sched_Pay+Extra_Pay&lt;Beg_Bal),Sched_Pay+Extra_Pay,IF(Pay_Num&lt;&gt;"",Beg_Bal,""))</f>
        <v>0</v>
      </c>
      <c r="G178" s="33">
        <f>IF(Pay_Num&lt;&gt;"",Total_Pay-Int,"")</f>
        <v>0</v>
      </c>
      <c r="H178" s="33">
        <f>IF(Pay_Num&lt;&gt;"",Beg_Bal*Interest_Rate/Num_Pmt_Per_Year,"")</f>
        <v>0</v>
      </c>
      <c r="I178" s="33">
        <f>IF(AND(Pay_Num&lt;&gt;"",Sched_Pay+Extra_Pay&lt;Beg_Bal),Beg_Bal-Princ,IF(Pay_Num&lt;&gt;"",0,""))</f>
        <v>0</v>
      </c>
      <c r="J178" s="33">
        <f>SUM($H$18:$H178)</f>
        <v>264024.10073253291</v>
      </c>
    </row>
    <row r="179" spans="1:10" x14ac:dyDescent="0.3">
      <c r="A179" s="36">
        <f>IF(Values_Entered,A178+1,"")</f>
        <v>162</v>
      </c>
      <c r="B179" s="35">
        <f>IF(Pay_Num&lt;&gt;"",DATE(YEAR(Loan_Start),MONTH(Loan_Start)+(Pay_Num)*12/Num_Pmt_Per_Year,DAY(Loan_Start)),"")</f>
        <v>50314</v>
      </c>
      <c r="C179" s="33">
        <f>IF(Pay_Num&lt;&gt;"",I178,"")</f>
        <v>0</v>
      </c>
      <c r="D179" s="33">
        <f>IF(Pay_Num&lt;&gt;"",Scheduled_Monthly_Payment,"")</f>
        <v>26333.835431927764</v>
      </c>
      <c r="E179" s="34">
        <f>IF(AND(Pay_Num&lt;&gt;"",Sched_Pay+Scheduled_Extra_Payments&lt;Beg_Bal),Scheduled_Extra_Payments,IF(AND(Pay_Num&lt;&gt;"",Beg_Bal-Sched_Pay&gt;0),Beg_Bal-Sched_Pay,IF(Pay_Num&lt;&gt;"",0,"")))</f>
        <v>0</v>
      </c>
      <c r="F179" s="33">
        <f>IF(AND(Pay_Num&lt;&gt;"",Sched_Pay+Extra_Pay&lt;Beg_Bal),Sched_Pay+Extra_Pay,IF(Pay_Num&lt;&gt;"",Beg_Bal,""))</f>
        <v>0</v>
      </c>
      <c r="G179" s="33">
        <f>IF(Pay_Num&lt;&gt;"",Total_Pay-Int,"")</f>
        <v>0</v>
      </c>
      <c r="H179" s="33">
        <f>IF(Pay_Num&lt;&gt;"",Beg_Bal*Interest_Rate/Num_Pmt_Per_Year,"")</f>
        <v>0</v>
      </c>
      <c r="I179" s="33">
        <f>IF(AND(Pay_Num&lt;&gt;"",Sched_Pay+Extra_Pay&lt;Beg_Bal),Beg_Bal-Princ,IF(Pay_Num&lt;&gt;"",0,""))</f>
        <v>0</v>
      </c>
      <c r="J179" s="33">
        <f>SUM($H$18:$H179)</f>
        <v>264024.10073253291</v>
      </c>
    </row>
    <row r="180" spans="1:10" x14ac:dyDescent="0.3">
      <c r="A180" s="36">
        <f>IF(Values_Entered,A179+1,"")</f>
        <v>163</v>
      </c>
      <c r="B180" s="35">
        <f>IF(Pay_Num&lt;&gt;"",DATE(YEAR(Loan_Start),MONTH(Loan_Start)+(Pay_Num)*12/Num_Pmt_Per_Year,DAY(Loan_Start)),"")</f>
        <v>50345</v>
      </c>
      <c r="C180" s="33">
        <f>IF(Pay_Num&lt;&gt;"",I179,"")</f>
        <v>0</v>
      </c>
      <c r="D180" s="33">
        <f>IF(Pay_Num&lt;&gt;"",Scheduled_Monthly_Payment,"")</f>
        <v>26333.835431927764</v>
      </c>
      <c r="E180" s="34">
        <f>IF(AND(Pay_Num&lt;&gt;"",Sched_Pay+Scheduled_Extra_Payments&lt;Beg_Bal),Scheduled_Extra_Payments,IF(AND(Pay_Num&lt;&gt;"",Beg_Bal-Sched_Pay&gt;0),Beg_Bal-Sched_Pay,IF(Pay_Num&lt;&gt;"",0,"")))</f>
        <v>0</v>
      </c>
      <c r="F180" s="33">
        <f>IF(AND(Pay_Num&lt;&gt;"",Sched_Pay+Extra_Pay&lt;Beg_Bal),Sched_Pay+Extra_Pay,IF(Pay_Num&lt;&gt;"",Beg_Bal,""))</f>
        <v>0</v>
      </c>
      <c r="G180" s="33">
        <f>IF(Pay_Num&lt;&gt;"",Total_Pay-Int,"")</f>
        <v>0</v>
      </c>
      <c r="H180" s="33">
        <f>IF(Pay_Num&lt;&gt;"",Beg_Bal*Interest_Rate/Num_Pmt_Per_Year,"")</f>
        <v>0</v>
      </c>
      <c r="I180" s="33">
        <f>IF(AND(Pay_Num&lt;&gt;"",Sched_Pay+Extra_Pay&lt;Beg_Bal),Beg_Bal-Princ,IF(Pay_Num&lt;&gt;"",0,""))</f>
        <v>0</v>
      </c>
      <c r="J180" s="33">
        <f>SUM($H$18:$H180)</f>
        <v>264024.10073253291</v>
      </c>
    </row>
    <row r="181" spans="1:10" x14ac:dyDescent="0.3">
      <c r="A181" s="36">
        <f>IF(Values_Entered,A180+1,"")</f>
        <v>164</v>
      </c>
      <c r="B181" s="35">
        <f>IF(Pay_Num&lt;&gt;"",DATE(YEAR(Loan_Start),MONTH(Loan_Start)+(Pay_Num)*12/Num_Pmt_Per_Year,DAY(Loan_Start)),"")</f>
        <v>50375</v>
      </c>
      <c r="C181" s="33">
        <f>IF(Pay_Num&lt;&gt;"",I180,"")</f>
        <v>0</v>
      </c>
      <c r="D181" s="33">
        <f>IF(Pay_Num&lt;&gt;"",Scheduled_Monthly_Payment,"")</f>
        <v>26333.835431927764</v>
      </c>
      <c r="E181" s="34">
        <f>IF(AND(Pay_Num&lt;&gt;"",Sched_Pay+Scheduled_Extra_Payments&lt;Beg_Bal),Scheduled_Extra_Payments,IF(AND(Pay_Num&lt;&gt;"",Beg_Bal-Sched_Pay&gt;0),Beg_Bal-Sched_Pay,IF(Pay_Num&lt;&gt;"",0,"")))</f>
        <v>0</v>
      </c>
      <c r="F181" s="33">
        <f>IF(AND(Pay_Num&lt;&gt;"",Sched_Pay+Extra_Pay&lt;Beg_Bal),Sched_Pay+Extra_Pay,IF(Pay_Num&lt;&gt;"",Beg_Bal,""))</f>
        <v>0</v>
      </c>
      <c r="G181" s="33">
        <f>IF(Pay_Num&lt;&gt;"",Total_Pay-Int,"")</f>
        <v>0</v>
      </c>
      <c r="H181" s="33">
        <f>IF(Pay_Num&lt;&gt;"",Beg_Bal*Interest_Rate/Num_Pmt_Per_Year,"")</f>
        <v>0</v>
      </c>
      <c r="I181" s="33">
        <f>IF(AND(Pay_Num&lt;&gt;"",Sched_Pay+Extra_Pay&lt;Beg_Bal),Beg_Bal-Princ,IF(Pay_Num&lt;&gt;"",0,""))</f>
        <v>0</v>
      </c>
      <c r="J181" s="33">
        <f>SUM($H$18:$H181)</f>
        <v>264024.10073253291</v>
      </c>
    </row>
    <row r="182" spans="1:10" x14ac:dyDescent="0.3">
      <c r="A182" s="36">
        <f>IF(Values_Entered,A181+1,"")</f>
        <v>165</v>
      </c>
      <c r="B182" s="35">
        <f>IF(Pay_Num&lt;&gt;"",DATE(YEAR(Loan_Start),MONTH(Loan_Start)+(Pay_Num)*12/Num_Pmt_Per_Year,DAY(Loan_Start)),"")</f>
        <v>50406</v>
      </c>
      <c r="C182" s="33">
        <f>IF(Pay_Num&lt;&gt;"",I181,"")</f>
        <v>0</v>
      </c>
      <c r="D182" s="33">
        <f>IF(Pay_Num&lt;&gt;"",Scheduled_Monthly_Payment,"")</f>
        <v>26333.835431927764</v>
      </c>
      <c r="E182" s="34">
        <f>IF(AND(Pay_Num&lt;&gt;"",Sched_Pay+Scheduled_Extra_Payments&lt;Beg_Bal),Scheduled_Extra_Payments,IF(AND(Pay_Num&lt;&gt;"",Beg_Bal-Sched_Pay&gt;0),Beg_Bal-Sched_Pay,IF(Pay_Num&lt;&gt;"",0,"")))</f>
        <v>0</v>
      </c>
      <c r="F182" s="33">
        <f>IF(AND(Pay_Num&lt;&gt;"",Sched_Pay+Extra_Pay&lt;Beg_Bal),Sched_Pay+Extra_Pay,IF(Pay_Num&lt;&gt;"",Beg_Bal,""))</f>
        <v>0</v>
      </c>
      <c r="G182" s="33">
        <f>IF(Pay_Num&lt;&gt;"",Total_Pay-Int,"")</f>
        <v>0</v>
      </c>
      <c r="H182" s="33">
        <f>IF(Pay_Num&lt;&gt;"",Beg_Bal*Interest_Rate/Num_Pmt_Per_Year,"")</f>
        <v>0</v>
      </c>
      <c r="I182" s="33">
        <f>IF(AND(Pay_Num&lt;&gt;"",Sched_Pay+Extra_Pay&lt;Beg_Bal),Beg_Bal-Princ,IF(Pay_Num&lt;&gt;"",0,""))</f>
        <v>0</v>
      </c>
      <c r="J182" s="33">
        <f>SUM($H$18:$H182)</f>
        <v>264024.10073253291</v>
      </c>
    </row>
    <row r="183" spans="1:10" x14ac:dyDescent="0.3">
      <c r="A183" s="36">
        <f>IF(Values_Entered,A182+1,"")</f>
        <v>166</v>
      </c>
      <c r="B183" s="35">
        <f>IF(Pay_Num&lt;&gt;"",DATE(YEAR(Loan_Start),MONTH(Loan_Start)+(Pay_Num)*12/Num_Pmt_Per_Year,DAY(Loan_Start)),"")</f>
        <v>50437</v>
      </c>
      <c r="C183" s="33">
        <f>IF(Pay_Num&lt;&gt;"",I182,"")</f>
        <v>0</v>
      </c>
      <c r="D183" s="33">
        <f>IF(Pay_Num&lt;&gt;"",Scheduled_Monthly_Payment,"")</f>
        <v>26333.835431927764</v>
      </c>
      <c r="E183" s="34">
        <f>IF(AND(Pay_Num&lt;&gt;"",Sched_Pay+Scheduled_Extra_Payments&lt;Beg_Bal),Scheduled_Extra_Payments,IF(AND(Pay_Num&lt;&gt;"",Beg_Bal-Sched_Pay&gt;0),Beg_Bal-Sched_Pay,IF(Pay_Num&lt;&gt;"",0,"")))</f>
        <v>0</v>
      </c>
      <c r="F183" s="33">
        <f>IF(AND(Pay_Num&lt;&gt;"",Sched_Pay+Extra_Pay&lt;Beg_Bal),Sched_Pay+Extra_Pay,IF(Pay_Num&lt;&gt;"",Beg_Bal,""))</f>
        <v>0</v>
      </c>
      <c r="G183" s="33">
        <f>IF(Pay_Num&lt;&gt;"",Total_Pay-Int,"")</f>
        <v>0</v>
      </c>
      <c r="H183" s="33">
        <f>IF(Pay_Num&lt;&gt;"",Beg_Bal*Interest_Rate/Num_Pmt_Per_Year,"")</f>
        <v>0</v>
      </c>
      <c r="I183" s="33">
        <f>IF(AND(Pay_Num&lt;&gt;"",Sched_Pay+Extra_Pay&lt;Beg_Bal),Beg_Bal-Princ,IF(Pay_Num&lt;&gt;"",0,""))</f>
        <v>0</v>
      </c>
      <c r="J183" s="33">
        <f>SUM($H$18:$H183)</f>
        <v>264024.10073253291</v>
      </c>
    </row>
    <row r="184" spans="1:10" x14ac:dyDescent="0.3">
      <c r="A184" s="36">
        <f>IF(Values_Entered,A183+1,"")</f>
        <v>167</v>
      </c>
      <c r="B184" s="35">
        <f>IF(Pay_Num&lt;&gt;"",DATE(YEAR(Loan_Start),MONTH(Loan_Start)+(Pay_Num)*12/Num_Pmt_Per_Year,DAY(Loan_Start)),"")</f>
        <v>50465</v>
      </c>
      <c r="C184" s="33">
        <f>IF(Pay_Num&lt;&gt;"",I183,"")</f>
        <v>0</v>
      </c>
      <c r="D184" s="33">
        <f>IF(Pay_Num&lt;&gt;"",Scheduled_Monthly_Payment,"")</f>
        <v>26333.835431927764</v>
      </c>
      <c r="E184" s="34">
        <f>IF(AND(Pay_Num&lt;&gt;"",Sched_Pay+Scheduled_Extra_Payments&lt;Beg_Bal),Scheduled_Extra_Payments,IF(AND(Pay_Num&lt;&gt;"",Beg_Bal-Sched_Pay&gt;0),Beg_Bal-Sched_Pay,IF(Pay_Num&lt;&gt;"",0,"")))</f>
        <v>0</v>
      </c>
      <c r="F184" s="33">
        <f>IF(AND(Pay_Num&lt;&gt;"",Sched_Pay+Extra_Pay&lt;Beg_Bal),Sched_Pay+Extra_Pay,IF(Pay_Num&lt;&gt;"",Beg_Bal,""))</f>
        <v>0</v>
      </c>
      <c r="G184" s="33">
        <f>IF(Pay_Num&lt;&gt;"",Total_Pay-Int,"")</f>
        <v>0</v>
      </c>
      <c r="H184" s="33">
        <f>IF(Pay_Num&lt;&gt;"",Beg_Bal*Interest_Rate/Num_Pmt_Per_Year,"")</f>
        <v>0</v>
      </c>
      <c r="I184" s="33">
        <f>IF(AND(Pay_Num&lt;&gt;"",Sched_Pay+Extra_Pay&lt;Beg_Bal),Beg_Bal-Princ,IF(Pay_Num&lt;&gt;"",0,""))</f>
        <v>0</v>
      </c>
      <c r="J184" s="33">
        <f>SUM($H$18:$H184)</f>
        <v>264024.10073253291</v>
      </c>
    </row>
    <row r="185" spans="1:10" x14ac:dyDescent="0.3">
      <c r="A185" s="36">
        <f>IF(Values_Entered,A184+1,"")</f>
        <v>168</v>
      </c>
      <c r="B185" s="35">
        <f>IF(Pay_Num&lt;&gt;"",DATE(YEAR(Loan_Start),MONTH(Loan_Start)+(Pay_Num)*12/Num_Pmt_Per_Year,DAY(Loan_Start)),"")</f>
        <v>50496</v>
      </c>
      <c r="C185" s="33">
        <f>IF(Pay_Num&lt;&gt;"",I184,"")</f>
        <v>0</v>
      </c>
      <c r="D185" s="33">
        <f>IF(Pay_Num&lt;&gt;"",Scheduled_Monthly_Payment,"")</f>
        <v>26333.835431927764</v>
      </c>
      <c r="E185" s="34">
        <f>IF(AND(Pay_Num&lt;&gt;"",Sched_Pay+Scheduled_Extra_Payments&lt;Beg_Bal),Scheduled_Extra_Payments,IF(AND(Pay_Num&lt;&gt;"",Beg_Bal-Sched_Pay&gt;0),Beg_Bal-Sched_Pay,IF(Pay_Num&lt;&gt;"",0,"")))</f>
        <v>0</v>
      </c>
      <c r="F185" s="33">
        <f>IF(AND(Pay_Num&lt;&gt;"",Sched_Pay+Extra_Pay&lt;Beg_Bal),Sched_Pay+Extra_Pay,IF(Pay_Num&lt;&gt;"",Beg_Bal,""))</f>
        <v>0</v>
      </c>
      <c r="G185" s="33">
        <f>IF(Pay_Num&lt;&gt;"",Total_Pay-Int,"")</f>
        <v>0</v>
      </c>
      <c r="H185" s="33">
        <f>IF(Pay_Num&lt;&gt;"",Beg_Bal*Interest_Rate/Num_Pmt_Per_Year,"")</f>
        <v>0</v>
      </c>
      <c r="I185" s="33">
        <f>IF(AND(Pay_Num&lt;&gt;"",Sched_Pay+Extra_Pay&lt;Beg_Bal),Beg_Bal-Princ,IF(Pay_Num&lt;&gt;"",0,""))</f>
        <v>0</v>
      </c>
      <c r="J185" s="33">
        <f>SUM($H$18:$H185)</f>
        <v>264024.10073253291</v>
      </c>
    </row>
    <row r="186" spans="1:10" x14ac:dyDescent="0.3">
      <c r="A186" s="36">
        <f>IF(Values_Entered,A185+1,"")</f>
        <v>169</v>
      </c>
      <c r="B186" s="35">
        <f>IF(Pay_Num&lt;&gt;"",DATE(YEAR(Loan_Start),MONTH(Loan_Start)+(Pay_Num)*12/Num_Pmt_Per_Year,DAY(Loan_Start)),"")</f>
        <v>50526</v>
      </c>
      <c r="C186" s="33">
        <f>IF(Pay_Num&lt;&gt;"",I185,"")</f>
        <v>0</v>
      </c>
      <c r="D186" s="33">
        <f>IF(Pay_Num&lt;&gt;"",Scheduled_Monthly_Payment,"")</f>
        <v>26333.835431927764</v>
      </c>
      <c r="E186" s="34">
        <f>IF(AND(Pay_Num&lt;&gt;"",Sched_Pay+Scheduled_Extra_Payments&lt;Beg_Bal),Scheduled_Extra_Payments,IF(AND(Pay_Num&lt;&gt;"",Beg_Bal-Sched_Pay&gt;0),Beg_Bal-Sched_Pay,IF(Pay_Num&lt;&gt;"",0,"")))</f>
        <v>0</v>
      </c>
      <c r="F186" s="33">
        <f>IF(AND(Pay_Num&lt;&gt;"",Sched_Pay+Extra_Pay&lt;Beg_Bal),Sched_Pay+Extra_Pay,IF(Pay_Num&lt;&gt;"",Beg_Bal,""))</f>
        <v>0</v>
      </c>
      <c r="G186" s="33">
        <f>IF(Pay_Num&lt;&gt;"",Total_Pay-Int,"")</f>
        <v>0</v>
      </c>
      <c r="H186" s="33">
        <f>IF(Pay_Num&lt;&gt;"",Beg_Bal*Interest_Rate/Num_Pmt_Per_Year,"")</f>
        <v>0</v>
      </c>
      <c r="I186" s="33">
        <f>IF(AND(Pay_Num&lt;&gt;"",Sched_Pay+Extra_Pay&lt;Beg_Bal),Beg_Bal-Princ,IF(Pay_Num&lt;&gt;"",0,""))</f>
        <v>0</v>
      </c>
      <c r="J186" s="33">
        <f>SUM($H$18:$H186)</f>
        <v>264024.10073253291</v>
      </c>
    </row>
    <row r="187" spans="1:10" x14ac:dyDescent="0.3">
      <c r="A187" s="36">
        <f>IF(Values_Entered,A186+1,"")</f>
        <v>170</v>
      </c>
      <c r="B187" s="35">
        <f>IF(Pay_Num&lt;&gt;"",DATE(YEAR(Loan_Start),MONTH(Loan_Start)+(Pay_Num)*12/Num_Pmt_Per_Year,DAY(Loan_Start)),"")</f>
        <v>50557</v>
      </c>
      <c r="C187" s="33">
        <f>IF(Pay_Num&lt;&gt;"",I186,"")</f>
        <v>0</v>
      </c>
      <c r="D187" s="33">
        <f>IF(Pay_Num&lt;&gt;"",Scheduled_Monthly_Payment,"")</f>
        <v>26333.835431927764</v>
      </c>
      <c r="E187" s="34">
        <f>IF(AND(Pay_Num&lt;&gt;"",Sched_Pay+Scheduled_Extra_Payments&lt;Beg_Bal),Scheduled_Extra_Payments,IF(AND(Pay_Num&lt;&gt;"",Beg_Bal-Sched_Pay&gt;0),Beg_Bal-Sched_Pay,IF(Pay_Num&lt;&gt;"",0,"")))</f>
        <v>0</v>
      </c>
      <c r="F187" s="33">
        <f>IF(AND(Pay_Num&lt;&gt;"",Sched_Pay+Extra_Pay&lt;Beg_Bal),Sched_Pay+Extra_Pay,IF(Pay_Num&lt;&gt;"",Beg_Bal,""))</f>
        <v>0</v>
      </c>
      <c r="G187" s="33">
        <f>IF(Pay_Num&lt;&gt;"",Total_Pay-Int,"")</f>
        <v>0</v>
      </c>
      <c r="H187" s="33">
        <f>IF(Pay_Num&lt;&gt;"",Beg_Bal*Interest_Rate/Num_Pmt_Per_Year,"")</f>
        <v>0</v>
      </c>
      <c r="I187" s="33">
        <f>IF(AND(Pay_Num&lt;&gt;"",Sched_Pay+Extra_Pay&lt;Beg_Bal),Beg_Bal-Princ,IF(Pay_Num&lt;&gt;"",0,""))</f>
        <v>0</v>
      </c>
      <c r="J187" s="33">
        <f>SUM($H$18:$H187)</f>
        <v>264024.10073253291</v>
      </c>
    </row>
    <row r="188" spans="1:10" x14ac:dyDescent="0.3">
      <c r="A188" s="36">
        <f>IF(Values_Entered,A187+1,"")</f>
        <v>171</v>
      </c>
      <c r="B188" s="35">
        <f>IF(Pay_Num&lt;&gt;"",DATE(YEAR(Loan_Start),MONTH(Loan_Start)+(Pay_Num)*12/Num_Pmt_Per_Year,DAY(Loan_Start)),"")</f>
        <v>50587</v>
      </c>
      <c r="C188" s="33">
        <f>IF(Pay_Num&lt;&gt;"",I187,"")</f>
        <v>0</v>
      </c>
      <c r="D188" s="33">
        <f>IF(Pay_Num&lt;&gt;"",Scheduled_Monthly_Payment,"")</f>
        <v>26333.835431927764</v>
      </c>
      <c r="E188" s="34">
        <f>IF(AND(Pay_Num&lt;&gt;"",Sched_Pay+Scheduled_Extra_Payments&lt;Beg_Bal),Scheduled_Extra_Payments,IF(AND(Pay_Num&lt;&gt;"",Beg_Bal-Sched_Pay&gt;0),Beg_Bal-Sched_Pay,IF(Pay_Num&lt;&gt;"",0,"")))</f>
        <v>0</v>
      </c>
      <c r="F188" s="33">
        <f>IF(AND(Pay_Num&lt;&gt;"",Sched_Pay+Extra_Pay&lt;Beg_Bal),Sched_Pay+Extra_Pay,IF(Pay_Num&lt;&gt;"",Beg_Bal,""))</f>
        <v>0</v>
      </c>
      <c r="G188" s="33">
        <f>IF(Pay_Num&lt;&gt;"",Total_Pay-Int,"")</f>
        <v>0</v>
      </c>
      <c r="H188" s="33">
        <f>IF(Pay_Num&lt;&gt;"",Beg_Bal*Interest_Rate/Num_Pmt_Per_Year,"")</f>
        <v>0</v>
      </c>
      <c r="I188" s="33">
        <f>IF(AND(Pay_Num&lt;&gt;"",Sched_Pay+Extra_Pay&lt;Beg_Bal),Beg_Bal-Princ,IF(Pay_Num&lt;&gt;"",0,""))</f>
        <v>0</v>
      </c>
      <c r="J188" s="33">
        <f>SUM($H$18:$H188)</f>
        <v>264024.10073253291</v>
      </c>
    </row>
    <row r="189" spans="1:10" x14ac:dyDescent="0.3">
      <c r="A189" s="36">
        <f>IF(Values_Entered,A188+1,"")</f>
        <v>172</v>
      </c>
      <c r="B189" s="35">
        <f>IF(Pay_Num&lt;&gt;"",DATE(YEAR(Loan_Start),MONTH(Loan_Start)+(Pay_Num)*12/Num_Pmt_Per_Year,DAY(Loan_Start)),"")</f>
        <v>50618</v>
      </c>
      <c r="C189" s="33">
        <f>IF(Pay_Num&lt;&gt;"",I188,"")</f>
        <v>0</v>
      </c>
      <c r="D189" s="33">
        <f>IF(Pay_Num&lt;&gt;"",Scheduled_Monthly_Payment,"")</f>
        <v>26333.835431927764</v>
      </c>
      <c r="E189" s="34">
        <f>IF(AND(Pay_Num&lt;&gt;"",Sched_Pay+Scheduled_Extra_Payments&lt;Beg_Bal),Scheduled_Extra_Payments,IF(AND(Pay_Num&lt;&gt;"",Beg_Bal-Sched_Pay&gt;0),Beg_Bal-Sched_Pay,IF(Pay_Num&lt;&gt;"",0,"")))</f>
        <v>0</v>
      </c>
      <c r="F189" s="33">
        <f>IF(AND(Pay_Num&lt;&gt;"",Sched_Pay+Extra_Pay&lt;Beg_Bal),Sched_Pay+Extra_Pay,IF(Pay_Num&lt;&gt;"",Beg_Bal,""))</f>
        <v>0</v>
      </c>
      <c r="G189" s="33">
        <f>IF(Pay_Num&lt;&gt;"",Total_Pay-Int,"")</f>
        <v>0</v>
      </c>
      <c r="H189" s="33">
        <f>IF(Pay_Num&lt;&gt;"",Beg_Bal*Interest_Rate/Num_Pmt_Per_Year,"")</f>
        <v>0</v>
      </c>
      <c r="I189" s="33">
        <f>IF(AND(Pay_Num&lt;&gt;"",Sched_Pay+Extra_Pay&lt;Beg_Bal),Beg_Bal-Princ,IF(Pay_Num&lt;&gt;"",0,""))</f>
        <v>0</v>
      </c>
      <c r="J189" s="33">
        <f>SUM($H$18:$H189)</f>
        <v>264024.10073253291</v>
      </c>
    </row>
    <row r="190" spans="1:10" x14ac:dyDescent="0.3">
      <c r="A190" s="36">
        <f>IF(Values_Entered,A189+1,"")</f>
        <v>173</v>
      </c>
      <c r="B190" s="35">
        <f>IF(Pay_Num&lt;&gt;"",DATE(YEAR(Loan_Start),MONTH(Loan_Start)+(Pay_Num)*12/Num_Pmt_Per_Year,DAY(Loan_Start)),"")</f>
        <v>50649</v>
      </c>
      <c r="C190" s="33">
        <f>IF(Pay_Num&lt;&gt;"",I189,"")</f>
        <v>0</v>
      </c>
      <c r="D190" s="33">
        <f>IF(Pay_Num&lt;&gt;"",Scheduled_Monthly_Payment,"")</f>
        <v>26333.835431927764</v>
      </c>
      <c r="E190" s="34">
        <f>IF(AND(Pay_Num&lt;&gt;"",Sched_Pay+Scheduled_Extra_Payments&lt;Beg_Bal),Scheduled_Extra_Payments,IF(AND(Pay_Num&lt;&gt;"",Beg_Bal-Sched_Pay&gt;0),Beg_Bal-Sched_Pay,IF(Pay_Num&lt;&gt;"",0,"")))</f>
        <v>0</v>
      </c>
      <c r="F190" s="33">
        <f>IF(AND(Pay_Num&lt;&gt;"",Sched_Pay+Extra_Pay&lt;Beg_Bal),Sched_Pay+Extra_Pay,IF(Pay_Num&lt;&gt;"",Beg_Bal,""))</f>
        <v>0</v>
      </c>
      <c r="G190" s="33">
        <f>IF(Pay_Num&lt;&gt;"",Total_Pay-Int,"")</f>
        <v>0</v>
      </c>
      <c r="H190" s="33">
        <f>IF(Pay_Num&lt;&gt;"",Beg_Bal*Interest_Rate/Num_Pmt_Per_Year,"")</f>
        <v>0</v>
      </c>
      <c r="I190" s="33">
        <f>IF(AND(Pay_Num&lt;&gt;"",Sched_Pay+Extra_Pay&lt;Beg_Bal),Beg_Bal-Princ,IF(Pay_Num&lt;&gt;"",0,""))</f>
        <v>0</v>
      </c>
      <c r="J190" s="33">
        <f>SUM($H$18:$H190)</f>
        <v>264024.10073253291</v>
      </c>
    </row>
    <row r="191" spans="1:10" x14ac:dyDescent="0.3">
      <c r="A191" s="36">
        <f>IF(Values_Entered,A190+1,"")</f>
        <v>174</v>
      </c>
      <c r="B191" s="35">
        <f>IF(Pay_Num&lt;&gt;"",DATE(YEAR(Loan_Start),MONTH(Loan_Start)+(Pay_Num)*12/Num_Pmt_Per_Year,DAY(Loan_Start)),"")</f>
        <v>50679</v>
      </c>
      <c r="C191" s="33">
        <f>IF(Pay_Num&lt;&gt;"",I190,"")</f>
        <v>0</v>
      </c>
      <c r="D191" s="33">
        <f>IF(Pay_Num&lt;&gt;"",Scheduled_Monthly_Payment,"")</f>
        <v>26333.835431927764</v>
      </c>
      <c r="E191" s="34">
        <f>IF(AND(Pay_Num&lt;&gt;"",Sched_Pay+Scheduled_Extra_Payments&lt;Beg_Bal),Scheduled_Extra_Payments,IF(AND(Pay_Num&lt;&gt;"",Beg_Bal-Sched_Pay&gt;0),Beg_Bal-Sched_Pay,IF(Pay_Num&lt;&gt;"",0,"")))</f>
        <v>0</v>
      </c>
      <c r="F191" s="33">
        <f>IF(AND(Pay_Num&lt;&gt;"",Sched_Pay+Extra_Pay&lt;Beg_Bal),Sched_Pay+Extra_Pay,IF(Pay_Num&lt;&gt;"",Beg_Bal,""))</f>
        <v>0</v>
      </c>
      <c r="G191" s="33">
        <f>IF(Pay_Num&lt;&gt;"",Total_Pay-Int,"")</f>
        <v>0</v>
      </c>
      <c r="H191" s="33">
        <f>IF(Pay_Num&lt;&gt;"",Beg_Bal*Interest_Rate/Num_Pmt_Per_Year,"")</f>
        <v>0</v>
      </c>
      <c r="I191" s="33">
        <f>IF(AND(Pay_Num&lt;&gt;"",Sched_Pay+Extra_Pay&lt;Beg_Bal),Beg_Bal-Princ,IF(Pay_Num&lt;&gt;"",0,""))</f>
        <v>0</v>
      </c>
      <c r="J191" s="33">
        <f>SUM($H$18:$H191)</f>
        <v>264024.10073253291</v>
      </c>
    </row>
    <row r="192" spans="1:10" x14ac:dyDescent="0.3">
      <c r="A192" s="36">
        <f>IF(Values_Entered,A191+1,"")</f>
        <v>175</v>
      </c>
      <c r="B192" s="35">
        <f>IF(Pay_Num&lt;&gt;"",DATE(YEAR(Loan_Start),MONTH(Loan_Start)+(Pay_Num)*12/Num_Pmt_Per_Year,DAY(Loan_Start)),"")</f>
        <v>50710</v>
      </c>
      <c r="C192" s="33">
        <f>IF(Pay_Num&lt;&gt;"",I191,"")</f>
        <v>0</v>
      </c>
      <c r="D192" s="33">
        <f>IF(Pay_Num&lt;&gt;"",Scheduled_Monthly_Payment,"")</f>
        <v>26333.835431927764</v>
      </c>
      <c r="E192" s="34">
        <f>IF(AND(Pay_Num&lt;&gt;"",Sched_Pay+Scheduled_Extra_Payments&lt;Beg_Bal),Scheduled_Extra_Payments,IF(AND(Pay_Num&lt;&gt;"",Beg_Bal-Sched_Pay&gt;0),Beg_Bal-Sched_Pay,IF(Pay_Num&lt;&gt;"",0,"")))</f>
        <v>0</v>
      </c>
      <c r="F192" s="33">
        <f>IF(AND(Pay_Num&lt;&gt;"",Sched_Pay+Extra_Pay&lt;Beg_Bal),Sched_Pay+Extra_Pay,IF(Pay_Num&lt;&gt;"",Beg_Bal,""))</f>
        <v>0</v>
      </c>
      <c r="G192" s="33">
        <f>IF(Pay_Num&lt;&gt;"",Total_Pay-Int,"")</f>
        <v>0</v>
      </c>
      <c r="H192" s="33">
        <f>IF(Pay_Num&lt;&gt;"",Beg_Bal*Interest_Rate/Num_Pmt_Per_Year,"")</f>
        <v>0</v>
      </c>
      <c r="I192" s="33">
        <f>IF(AND(Pay_Num&lt;&gt;"",Sched_Pay+Extra_Pay&lt;Beg_Bal),Beg_Bal-Princ,IF(Pay_Num&lt;&gt;"",0,""))</f>
        <v>0</v>
      </c>
      <c r="J192" s="33">
        <f>SUM($H$18:$H192)</f>
        <v>264024.10073253291</v>
      </c>
    </row>
    <row r="193" spans="1:10" x14ac:dyDescent="0.3">
      <c r="A193" s="36">
        <f>IF(Values_Entered,A192+1,"")</f>
        <v>176</v>
      </c>
      <c r="B193" s="35">
        <f>IF(Pay_Num&lt;&gt;"",DATE(YEAR(Loan_Start),MONTH(Loan_Start)+(Pay_Num)*12/Num_Pmt_Per_Year,DAY(Loan_Start)),"")</f>
        <v>50740</v>
      </c>
      <c r="C193" s="33">
        <f>IF(Pay_Num&lt;&gt;"",I192,"")</f>
        <v>0</v>
      </c>
      <c r="D193" s="33">
        <f>IF(Pay_Num&lt;&gt;"",Scheduled_Monthly_Payment,"")</f>
        <v>26333.835431927764</v>
      </c>
      <c r="E193" s="34">
        <f>IF(AND(Pay_Num&lt;&gt;"",Sched_Pay+Scheduled_Extra_Payments&lt;Beg_Bal),Scheduled_Extra_Payments,IF(AND(Pay_Num&lt;&gt;"",Beg_Bal-Sched_Pay&gt;0),Beg_Bal-Sched_Pay,IF(Pay_Num&lt;&gt;"",0,"")))</f>
        <v>0</v>
      </c>
      <c r="F193" s="33">
        <f>IF(AND(Pay_Num&lt;&gt;"",Sched_Pay+Extra_Pay&lt;Beg_Bal),Sched_Pay+Extra_Pay,IF(Pay_Num&lt;&gt;"",Beg_Bal,""))</f>
        <v>0</v>
      </c>
      <c r="G193" s="33">
        <f>IF(Pay_Num&lt;&gt;"",Total_Pay-Int,"")</f>
        <v>0</v>
      </c>
      <c r="H193" s="33">
        <f>IF(Pay_Num&lt;&gt;"",Beg_Bal*Interest_Rate/Num_Pmt_Per_Year,"")</f>
        <v>0</v>
      </c>
      <c r="I193" s="33">
        <f>IF(AND(Pay_Num&lt;&gt;"",Sched_Pay+Extra_Pay&lt;Beg_Bal),Beg_Bal-Princ,IF(Pay_Num&lt;&gt;"",0,""))</f>
        <v>0</v>
      </c>
      <c r="J193" s="33">
        <f>SUM($H$18:$H193)</f>
        <v>264024.10073253291</v>
      </c>
    </row>
    <row r="194" spans="1:10" x14ac:dyDescent="0.3">
      <c r="A194" s="36">
        <f>IF(Values_Entered,A193+1,"")</f>
        <v>177</v>
      </c>
      <c r="B194" s="35">
        <f>IF(Pay_Num&lt;&gt;"",DATE(YEAR(Loan_Start),MONTH(Loan_Start)+(Pay_Num)*12/Num_Pmt_Per_Year,DAY(Loan_Start)),"")</f>
        <v>50771</v>
      </c>
      <c r="C194" s="33">
        <f>IF(Pay_Num&lt;&gt;"",I193,"")</f>
        <v>0</v>
      </c>
      <c r="D194" s="33">
        <f>IF(Pay_Num&lt;&gt;"",Scheduled_Monthly_Payment,"")</f>
        <v>26333.835431927764</v>
      </c>
      <c r="E194" s="34">
        <f>IF(AND(Pay_Num&lt;&gt;"",Sched_Pay+Scheduled_Extra_Payments&lt;Beg_Bal),Scheduled_Extra_Payments,IF(AND(Pay_Num&lt;&gt;"",Beg_Bal-Sched_Pay&gt;0),Beg_Bal-Sched_Pay,IF(Pay_Num&lt;&gt;"",0,"")))</f>
        <v>0</v>
      </c>
      <c r="F194" s="33">
        <f>IF(AND(Pay_Num&lt;&gt;"",Sched_Pay+Extra_Pay&lt;Beg_Bal),Sched_Pay+Extra_Pay,IF(Pay_Num&lt;&gt;"",Beg_Bal,""))</f>
        <v>0</v>
      </c>
      <c r="G194" s="33">
        <f>IF(Pay_Num&lt;&gt;"",Total_Pay-Int,"")</f>
        <v>0</v>
      </c>
      <c r="H194" s="33">
        <f>IF(Pay_Num&lt;&gt;"",Beg_Bal*Interest_Rate/Num_Pmt_Per_Year,"")</f>
        <v>0</v>
      </c>
      <c r="I194" s="33">
        <f>IF(AND(Pay_Num&lt;&gt;"",Sched_Pay+Extra_Pay&lt;Beg_Bal),Beg_Bal-Princ,IF(Pay_Num&lt;&gt;"",0,""))</f>
        <v>0</v>
      </c>
      <c r="J194" s="33">
        <f>SUM($H$18:$H194)</f>
        <v>264024.10073253291</v>
      </c>
    </row>
    <row r="195" spans="1:10" x14ac:dyDescent="0.3">
      <c r="A195" s="36">
        <f>IF(Values_Entered,A194+1,"")</f>
        <v>178</v>
      </c>
      <c r="B195" s="35">
        <f>IF(Pay_Num&lt;&gt;"",DATE(YEAR(Loan_Start),MONTH(Loan_Start)+(Pay_Num)*12/Num_Pmt_Per_Year,DAY(Loan_Start)),"")</f>
        <v>50802</v>
      </c>
      <c r="C195" s="33">
        <f>IF(Pay_Num&lt;&gt;"",I194,"")</f>
        <v>0</v>
      </c>
      <c r="D195" s="33">
        <f>IF(Pay_Num&lt;&gt;"",Scheduled_Monthly_Payment,"")</f>
        <v>26333.835431927764</v>
      </c>
      <c r="E195" s="34">
        <f>IF(AND(Pay_Num&lt;&gt;"",Sched_Pay+Scheduled_Extra_Payments&lt;Beg_Bal),Scheduled_Extra_Payments,IF(AND(Pay_Num&lt;&gt;"",Beg_Bal-Sched_Pay&gt;0),Beg_Bal-Sched_Pay,IF(Pay_Num&lt;&gt;"",0,"")))</f>
        <v>0</v>
      </c>
      <c r="F195" s="33">
        <f>IF(AND(Pay_Num&lt;&gt;"",Sched_Pay+Extra_Pay&lt;Beg_Bal),Sched_Pay+Extra_Pay,IF(Pay_Num&lt;&gt;"",Beg_Bal,""))</f>
        <v>0</v>
      </c>
      <c r="G195" s="33">
        <f>IF(Pay_Num&lt;&gt;"",Total_Pay-Int,"")</f>
        <v>0</v>
      </c>
      <c r="H195" s="33">
        <f>IF(Pay_Num&lt;&gt;"",Beg_Bal*Interest_Rate/Num_Pmt_Per_Year,"")</f>
        <v>0</v>
      </c>
      <c r="I195" s="33">
        <f>IF(AND(Pay_Num&lt;&gt;"",Sched_Pay+Extra_Pay&lt;Beg_Bal),Beg_Bal-Princ,IF(Pay_Num&lt;&gt;"",0,""))</f>
        <v>0</v>
      </c>
      <c r="J195" s="33">
        <f>SUM($H$18:$H195)</f>
        <v>264024.10073253291</v>
      </c>
    </row>
    <row r="196" spans="1:10" x14ac:dyDescent="0.3">
      <c r="A196" s="36">
        <f>IF(Values_Entered,A195+1,"")</f>
        <v>179</v>
      </c>
      <c r="B196" s="35">
        <f>IF(Pay_Num&lt;&gt;"",DATE(YEAR(Loan_Start),MONTH(Loan_Start)+(Pay_Num)*12/Num_Pmt_Per_Year,DAY(Loan_Start)),"")</f>
        <v>50830</v>
      </c>
      <c r="C196" s="33">
        <f>IF(Pay_Num&lt;&gt;"",I195,"")</f>
        <v>0</v>
      </c>
      <c r="D196" s="33">
        <f>IF(Pay_Num&lt;&gt;"",Scheduled_Monthly_Payment,"")</f>
        <v>26333.835431927764</v>
      </c>
      <c r="E196" s="34">
        <f>IF(AND(Pay_Num&lt;&gt;"",Sched_Pay+Scheduled_Extra_Payments&lt;Beg_Bal),Scheduled_Extra_Payments,IF(AND(Pay_Num&lt;&gt;"",Beg_Bal-Sched_Pay&gt;0),Beg_Bal-Sched_Pay,IF(Pay_Num&lt;&gt;"",0,"")))</f>
        <v>0</v>
      </c>
      <c r="F196" s="33">
        <f>IF(AND(Pay_Num&lt;&gt;"",Sched_Pay+Extra_Pay&lt;Beg_Bal),Sched_Pay+Extra_Pay,IF(Pay_Num&lt;&gt;"",Beg_Bal,""))</f>
        <v>0</v>
      </c>
      <c r="G196" s="33">
        <f>IF(Pay_Num&lt;&gt;"",Total_Pay-Int,"")</f>
        <v>0</v>
      </c>
      <c r="H196" s="33">
        <f>IF(Pay_Num&lt;&gt;"",Beg_Bal*Interest_Rate/Num_Pmt_Per_Year,"")</f>
        <v>0</v>
      </c>
      <c r="I196" s="33">
        <f>IF(AND(Pay_Num&lt;&gt;"",Sched_Pay+Extra_Pay&lt;Beg_Bal),Beg_Bal-Princ,IF(Pay_Num&lt;&gt;"",0,""))</f>
        <v>0</v>
      </c>
      <c r="J196" s="33">
        <f>SUM($H$18:$H196)</f>
        <v>264024.10073253291</v>
      </c>
    </row>
    <row r="197" spans="1:10" x14ac:dyDescent="0.3">
      <c r="A197" s="36">
        <f>IF(Values_Entered,A196+1,"")</f>
        <v>180</v>
      </c>
      <c r="B197" s="35">
        <f>IF(Pay_Num&lt;&gt;"",DATE(YEAR(Loan_Start),MONTH(Loan_Start)+(Pay_Num)*12/Num_Pmt_Per_Year,DAY(Loan_Start)),"")</f>
        <v>50861</v>
      </c>
      <c r="C197" s="33">
        <f>IF(Pay_Num&lt;&gt;"",I196,"")</f>
        <v>0</v>
      </c>
      <c r="D197" s="33">
        <f>IF(Pay_Num&lt;&gt;"",Scheduled_Monthly_Payment,"")</f>
        <v>26333.835431927764</v>
      </c>
      <c r="E197" s="34">
        <f>IF(AND(Pay_Num&lt;&gt;"",Sched_Pay+Scheduled_Extra_Payments&lt;Beg_Bal),Scheduled_Extra_Payments,IF(AND(Pay_Num&lt;&gt;"",Beg_Bal-Sched_Pay&gt;0),Beg_Bal-Sched_Pay,IF(Pay_Num&lt;&gt;"",0,"")))</f>
        <v>0</v>
      </c>
      <c r="F197" s="33">
        <f>IF(AND(Pay_Num&lt;&gt;"",Sched_Pay+Extra_Pay&lt;Beg_Bal),Sched_Pay+Extra_Pay,IF(Pay_Num&lt;&gt;"",Beg_Bal,""))</f>
        <v>0</v>
      </c>
      <c r="G197" s="33">
        <f>IF(Pay_Num&lt;&gt;"",Total_Pay-Int,"")</f>
        <v>0</v>
      </c>
      <c r="H197" s="33">
        <f>IF(Pay_Num&lt;&gt;"",Beg_Bal*Interest_Rate/Num_Pmt_Per_Year,"")</f>
        <v>0</v>
      </c>
      <c r="I197" s="33">
        <f>IF(AND(Pay_Num&lt;&gt;"",Sched_Pay+Extra_Pay&lt;Beg_Bal),Beg_Bal-Princ,IF(Pay_Num&lt;&gt;"",0,""))</f>
        <v>0</v>
      </c>
      <c r="J197" s="33">
        <f>SUM($H$18:$H197)</f>
        <v>264024.10073253291</v>
      </c>
    </row>
    <row r="198" spans="1:10" x14ac:dyDescent="0.3">
      <c r="A198" s="36">
        <f>IF(Values_Entered,A197+1,"")</f>
        <v>181</v>
      </c>
      <c r="B198" s="35">
        <f>IF(Pay_Num&lt;&gt;"",DATE(YEAR(Loan_Start),MONTH(Loan_Start)+(Pay_Num)*12/Num_Pmt_Per_Year,DAY(Loan_Start)),"")</f>
        <v>50891</v>
      </c>
      <c r="C198" s="33">
        <f>IF(Pay_Num&lt;&gt;"",I197,"")</f>
        <v>0</v>
      </c>
      <c r="D198" s="33">
        <f>IF(Pay_Num&lt;&gt;"",Scheduled_Monthly_Payment,"")</f>
        <v>26333.835431927764</v>
      </c>
      <c r="E198" s="34">
        <f>IF(AND(Pay_Num&lt;&gt;"",Sched_Pay+Scheduled_Extra_Payments&lt;Beg_Bal),Scheduled_Extra_Payments,IF(AND(Pay_Num&lt;&gt;"",Beg_Bal-Sched_Pay&gt;0),Beg_Bal-Sched_Pay,IF(Pay_Num&lt;&gt;"",0,"")))</f>
        <v>0</v>
      </c>
      <c r="F198" s="33">
        <f>IF(AND(Pay_Num&lt;&gt;"",Sched_Pay+Extra_Pay&lt;Beg_Bal),Sched_Pay+Extra_Pay,IF(Pay_Num&lt;&gt;"",Beg_Bal,""))</f>
        <v>0</v>
      </c>
      <c r="G198" s="33">
        <f>IF(Pay_Num&lt;&gt;"",Total_Pay-Int,"")</f>
        <v>0</v>
      </c>
      <c r="H198" s="33">
        <f>IF(Pay_Num&lt;&gt;"",Beg_Bal*Interest_Rate/Num_Pmt_Per_Year,"")</f>
        <v>0</v>
      </c>
      <c r="I198" s="33">
        <f>IF(AND(Pay_Num&lt;&gt;"",Sched_Pay+Extra_Pay&lt;Beg_Bal),Beg_Bal-Princ,IF(Pay_Num&lt;&gt;"",0,""))</f>
        <v>0</v>
      </c>
      <c r="J198" s="33">
        <f>SUM($H$18:$H198)</f>
        <v>264024.10073253291</v>
      </c>
    </row>
    <row r="199" spans="1:10" x14ac:dyDescent="0.3">
      <c r="A199" s="36">
        <f>IF(Values_Entered,A198+1,"")</f>
        <v>182</v>
      </c>
      <c r="B199" s="35">
        <f>IF(Pay_Num&lt;&gt;"",DATE(YEAR(Loan_Start),MONTH(Loan_Start)+(Pay_Num)*12/Num_Pmt_Per_Year,DAY(Loan_Start)),"")</f>
        <v>50922</v>
      </c>
      <c r="C199" s="33">
        <f>IF(Pay_Num&lt;&gt;"",I198,"")</f>
        <v>0</v>
      </c>
      <c r="D199" s="33">
        <f>IF(Pay_Num&lt;&gt;"",Scheduled_Monthly_Payment,"")</f>
        <v>26333.835431927764</v>
      </c>
      <c r="E199" s="34">
        <f>IF(AND(Pay_Num&lt;&gt;"",Sched_Pay+Scheduled_Extra_Payments&lt;Beg_Bal),Scheduled_Extra_Payments,IF(AND(Pay_Num&lt;&gt;"",Beg_Bal-Sched_Pay&gt;0),Beg_Bal-Sched_Pay,IF(Pay_Num&lt;&gt;"",0,"")))</f>
        <v>0</v>
      </c>
      <c r="F199" s="33">
        <f>IF(AND(Pay_Num&lt;&gt;"",Sched_Pay+Extra_Pay&lt;Beg_Bal),Sched_Pay+Extra_Pay,IF(Pay_Num&lt;&gt;"",Beg_Bal,""))</f>
        <v>0</v>
      </c>
      <c r="G199" s="33">
        <f>IF(Pay_Num&lt;&gt;"",Total_Pay-Int,"")</f>
        <v>0</v>
      </c>
      <c r="H199" s="33">
        <f>IF(Pay_Num&lt;&gt;"",Beg_Bal*Interest_Rate/Num_Pmt_Per_Year,"")</f>
        <v>0</v>
      </c>
      <c r="I199" s="33">
        <f>IF(AND(Pay_Num&lt;&gt;"",Sched_Pay+Extra_Pay&lt;Beg_Bal),Beg_Bal-Princ,IF(Pay_Num&lt;&gt;"",0,""))</f>
        <v>0</v>
      </c>
      <c r="J199" s="33">
        <f>SUM($H$18:$H199)</f>
        <v>264024.10073253291</v>
      </c>
    </row>
    <row r="200" spans="1:10" x14ac:dyDescent="0.3">
      <c r="A200" s="36">
        <f>IF(Values_Entered,A199+1,"")</f>
        <v>183</v>
      </c>
      <c r="B200" s="35">
        <f>IF(Pay_Num&lt;&gt;"",DATE(YEAR(Loan_Start),MONTH(Loan_Start)+(Pay_Num)*12/Num_Pmt_Per_Year,DAY(Loan_Start)),"")</f>
        <v>50952</v>
      </c>
      <c r="C200" s="33">
        <f>IF(Pay_Num&lt;&gt;"",I199,"")</f>
        <v>0</v>
      </c>
      <c r="D200" s="33">
        <f>IF(Pay_Num&lt;&gt;"",Scheduled_Monthly_Payment,"")</f>
        <v>26333.835431927764</v>
      </c>
      <c r="E200" s="34">
        <f>IF(AND(Pay_Num&lt;&gt;"",Sched_Pay+Scheduled_Extra_Payments&lt;Beg_Bal),Scheduled_Extra_Payments,IF(AND(Pay_Num&lt;&gt;"",Beg_Bal-Sched_Pay&gt;0),Beg_Bal-Sched_Pay,IF(Pay_Num&lt;&gt;"",0,"")))</f>
        <v>0</v>
      </c>
      <c r="F200" s="33">
        <f>IF(AND(Pay_Num&lt;&gt;"",Sched_Pay+Extra_Pay&lt;Beg_Bal),Sched_Pay+Extra_Pay,IF(Pay_Num&lt;&gt;"",Beg_Bal,""))</f>
        <v>0</v>
      </c>
      <c r="G200" s="33">
        <f>IF(Pay_Num&lt;&gt;"",Total_Pay-Int,"")</f>
        <v>0</v>
      </c>
      <c r="H200" s="33">
        <f>IF(Pay_Num&lt;&gt;"",Beg_Bal*Interest_Rate/Num_Pmt_Per_Year,"")</f>
        <v>0</v>
      </c>
      <c r="I200" s="33">
        <f>IF(AND(Pay_Num&lt;&gt;"",Sched_Pay+Extra_Pay&lt;Beg_Bal),Beg_Bal-Princ,IF(Pay_Num&lt;&gt;"",0,""))</f>
        <v>0</v>
      </c>
      <c r="J200" s="33">
        <f>SUM($H$18:$H200)</f>
        <v>264024.10073253291</v>
      </c>
    </row>
    <row r="201" spans="1:10" x14ac:dyDescent="0.3">
      <c r="A201" s="36">
        <f>IF(Values_Entered,A200+1,"")</f>
        <v>184</v>
      </c>
      <c r="B201" s="35">
        <f>IF(Pay_Num&lt;&gt;"",DATE(YEAR(Loan_Start),MONTH(Loan_Start)+(Pay_Num)*12/Num_Pmt_Per_Year,DAY(Loan_Start)),"")</f>
        <v>50983</v>
      </c>
      <c r="C201" s="33">
        <f>IF(Pay_Num&lt;&gt;"",I200,"")</f>
        <v>0</v>
      </c>
      <c r="D201" s="33">
        <f>IF(Pay_Num&lt;&gt;"",Scheduled_Monthly_Payment,"")</f>
        <v>26333.835431927764</v>
      </c>
      <c r="E201" s="34">
        <f>IF(AND(Pay_Num&lt;&gt;"",Sched_Pay+Scheduled_Extra_Payments&lt;Beg_Bal),Scheduled_Extra_Payments,IF(AND(Pay_Num&lt;&gt;"",Beg_Bal-Sched_Pay&gt;0),Beg_Bal-Sched_Pay,IF(Pay_Num&lt;&gt;"",0,"")))</f>
        <v>0</v>
      </c>
      <c r="F201" s="33">
        <f>IF(AND(Pay_Num&lt;&gt;"",Sched_Pay+Extra_Pay&lt;Beg_Bal),Sched_Pay+Extra_Pay,IF(Pay_Num&lt;&gt;"",Beg_Bal,""))</f>
        <v>0</v>
      </c>
      <c r="G201" s="33">
        <f>IF(Pay_Num&lt;&gt;"",Total_Pay-Int,"")</f>
        <v>0</v>
      </c>
      <c r="H201" s="33">
        <f>IF(Pay_Num&lt;&gt;"",Beg_Bal*Interest_Rate/Num_Pmt_Per_Year,"")</f>
        <v>0</v>
      </c>
      <c r="I201" s="33">
        <f>IF(AND(Pay_Num&lt;&gt;"",Sched_Pay+Extra_Pay&lt;Beg_Bal),Beg_Bal-Princ,IF(Pay_Num&lt;&gt;"",0,""))</f>
        <v>0</v>
      </c>
      <c r="J201" s="33">
        <f>SUM($H$18:$H201)</f>
        <v>264024.10073253291</v>
      </c>
    </row>
    <row r="202" spans="1:10" x14ac:dyDescent="0.3">
      <c r="A202" s="36">
        <f>IF(Values_Entered,A201+1,"")</f>
        <v>185</v>
      </c>
      <c r="B202" s="35">
        <f>IF(Pay_Num&lt;&gt;"",DATE(YEAR(Loan_Start),MONTH(Loan_Start)+(Pay_Num)*12/Num_Pmt_Per_Year,DAY(Loan_Start)),"")</f>
        <v>51014</v>
      </c>
      <c r="C202" s="33">
        <f>IF(Pay_Num&lt;&gt;"",I201,"")</f>
        <v>0</v>
      </c>
      <c r="D202" s="33">
        <f>IF(Pay_Num&lt;&gt;"",Scheduled_Monthly_Payment,"")</f>
        <v>26333.835431927764</v>
      </c>
      <c r="E202" s="34">
        <f>IF(AND(Pay_Num&lt;&gt;"",Sched_Pay+Scheduled_Extra_Payments&lt;Beg_Bal),Scheduled_Extra_Payments,IF(AND(Pay_Num&lt;&gt;"",Beg_Bal-Sched_Pay&gt;0),Beg_Bal-Sched_Pay,IF(Pay_Num&lt;&gt;"",0,"")))</f>
        <v>0</v>
      </c>
      <c r="F202" s="33">
        <f>IF(AND(Pay_Num&lt;&gt;"",Sched_Pay+Extra_Pay&lt;Beg_Bal),Sched_Pay+Extra_Pay,IF(Pay_Num&lt;&gt;"",Beg_Bal,""))</f>
        <v>0</v>
      </c>
      <c r="G202" s="33">
        <f>IF(Pay_Num&lt;&gt;"",Total_Pay-Int,"")</f>
        <v>0</v>
      </c>
      <c r="H202" s="33">
        <f>IF(Pay_Num&lt;&gt;"",Beg_Bal*Interest_Rate/Num_Pmt_Per_Year,"")</f>
        <v>0</v>
      </c>
      <c r="I202" s="33">
        <f>IF(AND(Pay_Num&lt;&gt;"",Sched_Pay+Extra_Pay&lt;Beg_Bal),Beg_Bal-Princ,IF(Pay_Num&lt;&gt;"",0,""))</f>
        <v>0</v>
      </c>
      <c r="J202" s="33">
        <f>SUM($H$18:$H202)</f>
        <v>264024.10073253291</v>
      </c>
    </row>
    <row r="203" spans="1:10" x14ac:dyDescent="0.3">
      <c r="A203" s="36">
        <f>IF(Values_Entered,A202+1,"")</f>
        <v>186</v>
      </c>
      <c r="B203" s="35">
        <f>IF(Pay_Num&lt;&gt;"",DATE(YEAR(Loan_Start),MONTH(Loan_Start)+(Pay_Num)*12/Num_Pmt_Per_Year,DAY(Loan_Start)),"")</f>
        <v>51044</v>
      </c>
      <c r="C203" s="33">
        <f>IF(Pay_Num&lt;&gt;"",I202,"")</f>
        <v>0</v>
      </c>
      <c r="D203" s="33">
        <f>IF(Pay_Num&lt;&gt;"",Scheduled_Monthly_Payment,"")</f>
        <v>26333.835431927764</v>
      </c>
      <c r="E203" s="34">
        <f>IF(AND(Pay_Num&lt;&gt;"",Sched_Pay+Scheduled_Extra_Payments&lt;Beg_Bal),Scheduled_Extra_Payments,IF(AND(Pay_Num&lt;&gt;"",Beg_Bal-Sched_Pay&gt;0),Beg_Bal-Sched_Pay,IF(Pay_Num&lt;&gt;"",0,"")))</f>
        <v>0</v>
      </c>
      <c r="F203" s="33">
        <f>IF(AND(Pay_Num&lt;&gt;"",Sched_Pay+Extra_Pay&lt;Beg_Bal),Sched_Pay+Extra_Pay,IF(Pay_Num&lt;&gt;"",Beg_Bal,""))</f>
        <v>0</v>
      </c>
      <c r="G203" s="33">
        <f>IF(Pay_Num&lt;&gt;"",Total_Pay-Int,"")</f>
        <v>0</v>
      </c>
      <c r="H203" s="33">
        <f>IF(Pay_Num&lt;&gt;"",Beg_Bal*Interest_Rate/Num_Pmt_Per_Year,"")</f>
        <v>0</v>
      </c>
      <c r="I203" s="33">
        <f>IF(AND(Pay_Num&lt;&gt;"",Sched_Pay+Extra_Pay&lt;Beg_Bal),Beg_Bal-Princ,IF(Pay_Num&lt;&gt;"",0,""))</f>
        <v>0</v>
      </c>
      <c r="J203" s="33">
        <f>SUM($H$18:$H203)</f>
        <v>264024.10073253291</v>
      </c>
    </row>
    <row r="204" spans="1:10" x14ac:dyDescent="0.3">
      <c r="A204" s="36">
        <f>IF(Values_Entered,A203+1,"")</f>
        <v>187</v>
      </c>
      <c r="B204" s="35">
        <f>IF(Pay_Num&lt;&gt;"",DATE(YEAR(Loan_Start),MONTH(Loan_Start)+(Pay_Num)*12/Num_Pmt_Per_Year,DAY(Loan_Start)),"")</f>
        <v>51075</v>
      </c>
      <c r="C204" s="33">
        <f>IF(Pay_Num&lt;&gt;"",I203,"")</f>
        <v>0</v>
      </c>
      <c r="D204" s="33">
        <f>IF(Pay_Num&lt;&gt;"",Scheduled_Monthly_Payment,"")</f>
        <v>26333.835431927764</v>
      </c>
      <c r="E204" s="34">
        <f>IF(AND(Pay_Num&lt;&gt;"",Sched_Pay+Scheduled_Extra_Payments&lt;Beg_Bal),Scheduled_Extra_Payments,IF(AND(Pay_Num&lt;&gt;"",Beg_Bal-Sched_Pay&gt;0),Beg_Bal-Sched_Pay,IF(Pay_Num&lt;&gt;"",0,"")))</f>
        <v>0</v>
      </c>
      <c r="F204" s="33">
        <f>IF(AND(Pay_Num&lt;&gt;"",Sched_Pay+Extra_Pay&lt;Beg_Bal),Sched_Pay+Extra_Pay,IF(Pay_Num&lt;&gt;"",Beg_Bal,""))</f>
        <v>0</v>
      </c>
      <c r="G204" s="33">
        <f>IF(Pay_Num&lt;&gt;"",Total_Pay-Int,"")</f>
        <v>0</v>
      </c>
      <c r="H204" s="33">
        <f>IF(Pay_Num&lt;&gt;"",Beg_Bal*Interest_Rate/Num_Pmt_Per_Year,"")</f>
        <v>0</v>
      </c>
      <c r="I204" s="33">
        <f>IF(AND(Pay_Num&lt;&gt;"",Sched_Pay+Extra_Pay&lt;Beg_Bal),Beg_Bal-Princ,IF(Pay_Num&lt;&gt;"",0,""))</f>
        <v>0</v>
      </c>
      <c r="J204" s="33">
        <f>SUM($H$18:$H204)</f>
        <v>264024.10073253291</v>
      </c>
    </row>
    <row r="205" spans="1:10" x14ac:dyDescent="0.3">
      <c r="A205" s="36">
        <f>IF(Values_Entered,A204+1,"")</f>
        <v>188</v>
      </c>
      <c r="B205" s="35">
        <f>IF(Pay_Num&lt;&gt;"",DATE(YEAR(Loan_Start),MONTH(Loan_Start)+(Pay_Num)*12/Num_Pmt_Per_Year,DAY(Loan_Start)),"")</f>
        <v>51105</v>
      </c>
      <c r="C205" s="33">
        <f>IF(Pay_Num&lt;&gt;"",I204,"")</f>
        <v>0</v>
      </c>
      <c r="D205" s="33">
        <f>IF(Pay_Num&lt;&gt;"",Scheduled_Monthly_Payment,"")</f>
        <v>26333.835431927764</v>
      </c>
      <c r="E205" s="34">
        <f>IF(AND(Pay_Num&lt;&gt;"",Sched_Pay+Scheduled_Extra_Payments&lt;Beg_Bal),Scheduled_Extra_Payments,IF(AND(Pay_Num&lt;&gt;"",Beg_Bal-Sched_Pay&gt;0),Beg_Bal-Sched_Pay,IF(Pay_Num&lt;&gt;"",0,"")))</f>
        <v>0</v>
      </c>
      <c r="F205" s="33">
        <f>IF(AND(Pay_Num&lt;&gt;"",Sched_Pay+Extra_Pay&lt;Beg_Bal),Sched_Pay+Extra_Pay,IF(Pay_Num&lt;&gt;"",Beg_Bal,""))</f>
        <v>0</v>
      </c>
      <c r="G205" s="33">
        <f>IF(Pay_Num&lt;&gt;"",Total_Pay-Int,"")</f>
        <v>0</v>
      </c>
      <c r="H205" s="33">
        <f>IF(Pay_Num&lt;&gt;"",Beg_Bal*Interest_Rate/Num_Pmt_Per_Year,"")</f>
        <v>0</v>
      </c>
      <c r="I205" s="33">
        <f>IF(AND(Pay_Num&lt;&gt;"",Sched_Pay+Extra_Pay&lt;Beg_Bal),Beg_Bal-Princ,IF(Pay_Num&lt;&gt;"",0,""))</f>
        <v>0</v>
      </c>
      <c r="J205" s="33">
        <f>SUM($H$18:$H205)</f>
        <v>264024.10073253291</v>
      </c>
    </row>
    <row r="206" spans="1:10" x14ac:dyDescent="0.3">
      <c r="A206" s="36">
        <f>IF(Values_Entered,A205+1,"")</f>
        <v>189</v>
      </c>
      <c r="B206" s="35">
        <f>IF(Pay_Num&lt;&gt;"",DATE(YEAR(Loan_Start),MONTH(Loan_Start)+(Pay_Num)*12/Num_Pmt_Per_Year,DAY(Loan_Start)),"")</f>
        <v>51136</v>
      </c>
      <c r="C206" s="33">
        <f>IF(Pay_Num&lt;&gt;"",I205,"")</f>
        <v>0</v>
      </c>
      <c r="D206" s="33">
        <f>IF(Pay_Num&lt;&gt;"",Scheduled_Monthly_Payment,"")</f>
        <v>26333.835431927764</v>
      </c>
      <c r="E206" s="34">
        <f>IF(AND(Pay_Num&lt;&gt;"",Sched_Pay+Scheduled_Extra_Payments&lt;Beg_Bal),Scheduled_Extra_Payments,IF(AND(Pay_Num&lt;&gt;"",Beg_Bal-Sched_Pay&gt;0),Beg_Bal-Sched_Pay,IF(Pay_Num&lt;&gt;"",0,"")))</f>
        <v>0</v>
      </c>
      <c r="F206" s="33">
        <f>IF(AND(Pay_Num&lt;&gt;"",Sched_Pay+Extra_Pay&lt;Beg_Bal),Sched_Pay+Extra_Pay,IF(Pay_Num&lt;&gt;"",Beg_Bal,""))</f>
        <v>0</v>
      </c>
      <c r="G206" s="33">
        <f>IF(Pay_Num&lt;&gt;"",Total_Pay-Int,"")</f>
        <v>0</v>
      </c>
      <c r="H206" s="33">
        <f>IF(Pay_Num&lt;&gt;"",Beg_Bal*Interest_Rate/Num_Pmt_Per_Year,"")</f>
        <v>0</v>
      </c>
      <c r="I206" s="33">
        <f>IF(AND(Pay_Num&lt;&gt;"",Sched_Pay+Extra_Pay&lt;Beg_Bal),Beg_Bal-Princ,IF(Pay_Num&lt;&gt;"",0,""))</f>
        <v>0</v>
      </c>
      <c r="J206" s="33">
        <f>SUM($H$18:$H206)</f>
        <v>264024.10073253291</v>
      </c>
    </row>
    <row r="207" spans="1:10" x14ac:dyDescent="0.3">
      <c r="A207" s="36">
        <f>IF(Values_Entered,A206+1,"")</f>
        <v>190</v>
      </c>
      <c r="B207" s="35">
        <f>IF(Pay_Num&lt;&gt;"",DATE(YEAR(Loan_Start),MONTH(Loan_Start)+(Pay_Num)*12/Num_Pmt_Per_Year,DAY(Loan_Start)),"")</f>
        <v>51167</v>
      </c>
      <c r="C207" s="33">
        <f>IF(Pay_Num&lt;&gt;"",I206,"")</f>
        <v>0</v>
      </c>
      <c r="D207" s="33">
        <f>IF(Pay_Num&lt;&gt;"",Scheduled_Monthly_Payment,"")</f>
        <v>26333.835431927764</v>
      </c>
      <c r="E207" s="34">
        <f>IF(AND(Pay_Num&lt;&gt;"",Sched_Pay+Scheduled_Extra_Payments&lt;Beg_Bal),Scheduled_Extra_Payments,IF(AND(Pay_Num&lt;&gt;"",Beg_Bal-Sched_Pay&gt;0),Beg_Bal-Sched_Pay,IF(Pay_Num&lt;&gt;"",0,"")))</f>
        <v>0</v>
      </c>
      <c r="F207" s="33">
        <f>IF(AND(Pay_Num&lt;&gt;"",Sched_Pay+Extra_Pay&lt;Beg_Bal),Sched_Pay+Extra_Pay,IF(Pay_Num&lt;&gt;"",Beg_Bal,""))</f>
        <v>0</v>
      </c>
      <c r="G207" s="33">
        <f>IF(Pay_Num&lt;&gt;"",Total_Pay-Int,"")</f>
        <v>0</v>
      </c>
      <c r="H207" s="33">
        <f>IF(Pay_Num&lt;&gt;"",Beg_Bal*Interest_Rate/Num_Pmt_Per_Year,"")</f>
        <v>0</v>
      </c>
      <c r="I207" s="33">
        <f>IF(AND(Pay_Num&lt;&gt;"",Sched_Pay+Extra_Pay&lt;Beg_Bal),Beg_Bal-Princ,IF(Pay_Num&lt;&gt;"",0,""))</f>
        <v>0</v>
      </c>
      <c r="J207" s="33">
        <f>SUM($H$18:$H207)</f>
        <v>264024.10073253291</v>
      </c>
    </row>
    <row r="208" spans="1:10" x14ac:dyDescent="0.3">
      <c r="A208" s="36">
        <f>IF(Values_Entered,A207+1,"")</f>
        <v>191</v>
      </c>
      <c r="B208" s="35">
        <f>IF(Pay_Num&lt;&gt;"",DATE(YEAR(Loan_Start),MONTH(Loan_Start)+(Pay_Num)*12/Num_Pmt_Per_Year,DAY(Loan_Start)),"")</f>
        <v>51196</v>
      </c>
      <c r="C208" s="33">
        <f>IF(Pay_Num&lt;&gt;"",I207,"")</f>
        <v>0</v>
      </c>
      <c r="D208" s="33">
        <f>IF(Pay_Num&lt;&gt;"",Scheduled_Monthly_Payment,"")</f>
        <v>26333.835431927764</v>
      </c>
      <c r="E208" s="34">
        <f>IF(AND(Pay_Num&lt;&gt;"",Sched_Pay+Scheduled_Extra_Payments&lt;Beg_Bal),Scheduled_Extra_Payments,IF(AND(Pay_Num&lt;&gt;"",Beg_Bal-Sched_Pay&gt;0),Beg_Bal-Sched_Pay,IF(Pay_Num&lt;&gt;"",0,"")))</f>
        <v>0</v>
      </c>
      <c r="F208" s="33">
        <f>IF(AND(Pay_Num&lt;&gt;"",Sched_Pay+Extra_Pay&lt;Beg_Bal),Sched_Pay+Extra_Pay,IF(Pay_Num&lt;&gt;"",Beg_Bal,""))</f>
        <v>0</v>
      </c>
      <c r="G208" s="33">
        <f>IF(Pay_Num&lt;&gt;"",Total_Pay-Int,"")</f>
        <v>0</v>
      </c>
      <c r="H208" s="33">
        <f>IF(Pay_Num&lt;&gt;"",Beg_Bal*Interest_Rate/Num_Pmt_Per_Year,"")</f>
        <v>0</v>
      </c>
      <c r="I208" s="33">
        <f>IF(AND(Pay_Num&lt;&gt;"",Sched_Pay+Extra_Pay&lt;Beg_Bal),Beg_Bal-Princ,IF(Pay_Num&lt;&gt;"",0,""))</f>
        <v>0</v>
      </c>
      <c r="J208" s="33">
        <f>SUM($H$18:$H208)</f>
        <v>264024.10073253291</v>
      </c>
    </row>
    <row r="209" spans="1:10" x14ac:dyDescent="0.3">
      <c r="A209" s="36">
        <f>IF(Values_Entered,A208+1,"")</f>
        <v>192</v>
      </c>
      <c r="B209" s="35">
        <f>IF(Pay_Num&lt;&gt;"",DATE(YEAR(Loan_Start),MONTH(Loan_Start)+(Pay_Num)*12/Num_Pmt_Per_Year,DAY(Loan_Start)),"")</f>
        <v>51227</v>
      </c>
      <c r="C209" s="33">
        <f>IF(Pay_Num&lt;&gt;"",I208,"")</f>
        <v>0</v>
      </c>
      <c r="D209" s="33">
        <f>IF(Pay_Num&lt;&gt;"",Scheduled_Monthly_Payment,"")</f>
        <v>26333.835431927764</v>
      </c>
      <c r="E209" s="34">
        <f>IF(AND(Pay_Num&lt;&gt;"",Sched_Pay+Scheduled_Extra_Payments&lt;Beg_Bal),Scheduled_Extra_Payments,IF(AND(Pay_Num&lt;&gt;"",Beg_Bal-Sched_Pay&gt;0),Beg_Bal-Sched_Pay,IF(Pay_Num&lt;&gt;"",0,"")))</f>
        <v>0</v>
      </c>
      <c r="F209" s="33">
        <f>IF(AND(Pay_Num&lt;&gt;"",Sched_Pay+Extra_Pay&lt;Beg_Bal),Sched_Pay+Extra_Pay,IF(Pay_Num&lt;&gt;"",Beg_Bal,""))</f>
        <v>0</v>
      </c>
      <c r="G209" s="33">
        <f>IF(Pay_Num&lt;&gt;"",Total_Pay-Int,"")</f>
        <v>0</v>
      </c>
      <c r="H209" s="33">
        <f>IF(Pay_Num&lt;&gt;"",Beg_Bal*Interest_Rate/Num_Pmt_Per_Year,"")</f>
        <v>0</v>
      </c>
      <c r="I209" s="33">
        <f>IF(AND(Pay_Num&lt;&gt;"",Sched_Pay+Extra_Pay&lt;Beg_Bal),Beg_Bal-Princ,IF(Pay_Num&lt;&gt;"",0,""))</f>
        <v>0</v>
      </c>
      <c r="J209" s="33">
        <f>SUM($H$18:$H209)</f>
        <v>264024.10073253291</v>
      </c>
    </row>
    <row r="210" spans="1:10" x14ac:dyDescent="0.3">
      <c r="A210" s="36">
        <f>IF(Values_Entered,A209+1,"")</f>
        <v>193</v>
      </c>
      <c r="B210" s="35">
        <f>IF(Pay_Num&lt;&gt;"",DATE(YEAR(Loan_Start),MONTH(Loan_Start)+(Pay_Num)*12/Num_Pmt_Per_Year,DAY(Loan_Start)),"")</f>
        <v>51257</v>
      </c>
      <c r="C210" s="33">
        <f>IF(Pay_Num&lt;&gt;"",I209,"")</f>
        <v>0</v>
      </c>
      <c r="D210" s="33">
        <f>IF(Pay_Num&lt;&gt;"",Scheduled_Monthly_Payment,"")</f>
        <v>26333.835431927764</v>
      </c>
      <c r="E210" s="34">
        <f>IF(AND(Pay_Num&lt;&gt;"",Sched_Pay+Scheduled_Extra_Payments&lt;Beg_Bal),Scheduled_Extra_Payments,IF(AND(Pay_Num&lt;&gt;"",Beg_Bal-Sched_Pay&gt;0),Beg_Bal-Sched_Pay,IF(Pay_Num&lt;&gt;"",0,"")))</f>
        <v>0</v>
      </c>
      <c r="F210" s="33">
        <f>IF(AND(Pay_Num&lt;&gt;"",Sched_Pay+Extra_Pay&lt;Beg_Bal),Sched_Pay+Extra_Pay,IF(Pay_Num&lt;&gt;"",Beg_Bal,""))</f>
        <v>0</v>
      </c>
      <c r="G210" s="33">
        <f>IF(Pay_Num&lt;&gt;"",Total_Pay-Int,"")</f>
        <v>0</v>
      </c>
      <c r="H210" s="33">
        <f>IF(Pay_Num&lt;&gt;"",Beg_Bal*Interest_Rate/Num_Pmt_Per_Year,"")</f>
        <v>0</v>
      </c>
      <c r="I210" s="33">
        <f>IF(AND(Pay_Num&lt;&gt;"",Sched_Pay+Extra_Pay&lt;Beg_Bal),Beg_Bal-Princ,IF(Pay_Num&lt;&gt;"",0,""))</f>
        <v>0</v>
      </c>
      <c r="J210" s="33">
        <f>SUM($H$18:$H210)</f>
        <v>264024.10073253291</v>
      </c>
    </row>
    <row r="211" spans="1:10" x14ac:dyDescent="0.3">
      <c r="A211" s="36">
        <f>IF(Values_Entered,A210+1,"")</f>
        <v>194</v>
      </c>
      <c r="B211" s="35">
        <f>IF(Pay_Num&lt;&gt;"",DATE(YEAR(Loan_Start),MONTH(Loan_Start)+(Pay_Num)*12/Num_Pmt_Per_Year,DAY(Loan_Start)),"")</f>
        <v>51288</v>
      </c>
      <c r="C211" s="33">
        <f>IF(Pay_Num&lt;&gt;"",I210,"")</f>
        <v>0</v>
      </c>
      <c r="D211" s="33">
        <f>IF(Pay_Num&lt;&gt;"",Scheduled_Monthly_Payment,"")</f>
        <v>26333.835431927764</v>
      </c>
      <c r="E211" s="34">
        <f>IF(AND(Pay_Num&lt;&gt;"",Sched_Pay+Scheduled_Extra_Payments&lt;Beg_Bal),Scheduled_Extra_Payments,IF(AND(Pay_Num&lt;&gt;"",Beg_Bal-Sched_Pay&gt;0),Beg_Bal-Sched_Pay,IF(Pay_Num&lt;&gt;"",0,"")))</f>
        <v>0</v>
      </c>
      <c r="F211" s="33">
        <f>IF(AND(Pay_Num&lt;&gt;"",Sched_Pay+Extra_Pay&lt;Beg_Bal),Sched_Pay+Extra_Pay,IF(Pay_Num&lt;&gt;"",Beg_Bal,""))</f>
        <v>0</v>
      </c>
      <c r="G211" s="33">
        <f>IF(Pay_Num&lt;&gt;"",Total_Pay-Int,"")</f>
        <v>0</v>
      </c>
      <c r="H211" s="33">
        <f>IF(Pay_Num&lt;&gt;"",Beg_Bal*Interest_Rate/Num_Pmt_Per_Year,"")</f>
        <v>0</v>
      </c>
      <c r="I211" s="33">
        <f>IF(AND(Pay_Num&lt;&gt;"",Sched_Pay+Extra_Pay&lt;Beg_Bal),Beg_Bal-Princ,IF(Pay_Num&lt;&gt;"",0,""))</f>
        <v>0</v>
      </c>
      <c r="J211" s="33">
        <f>SUM($H$18:$H211)</f>
        <v>264024.10073253291</v>
      </c>
    </row>
    <row r="212" spans="1:10" x14ac:dyDescent="0.3">
      <c r="A212" s="36">
        <f>IF(Values_Entered,A211+1,"")</f>
        <v>195</v>
      </c>
      <c r="B212" s="35">
        <f>IF(Pay_Num&lt;&gt;"",DATE(YEAR(Loan_Start),MONTH(Loan_Start)+(Pay_Num)*12/Num_Pmt_Per_Year,DAY(Loan_Start)),"")</f>
        <v>51318</v>
      </c>
      <c r="C212" s="33">
        <f>IF(Pay_Num&lt;&gt;"",I211,"")</f>
        <v>0</v>
      </c>
      <c r="D212" s="33">
        <f>IF(Pay_Num&lt;&gt;"",Scheduled_Monthly_Payment,"")</f>
        <v>26333.835431927764</v>
      </c>
      <c r="E212" s="34">
        <f>IF(AND(Pay_Num&lt;&gt;"",Sched_Pay+Scheduled_Extra_Payments&lt;Beg_Bal),Scheduled_Extra_Payments,IF(AND(Pay_Num&lt;&gt;"",Beg_Bal-Sched_Pay&gt;0),Beg_Bal-Sched_Pay,IF(Pay_Num&lt;&gt;"",0,"")))</f>
        <v>0</v>
      </c>
      <c r="F212" s="33">
        <f>IF(AND(Pay_Num&lt;&gt;"",Sched_Pay+Extra_Pay&lt;Beg_Bal),Sched_Pay+Extra_Pay,IF(Pay_Num&lt;&gt;"",Beg_Bal,""))</f>
        <v>0</v>
      </c>
      <c r="G212" s="33">
        <f>IF(Pay_Num&lt;&gt;"",Total_Pay-Int,"")</f>
        <v>0</v>
      </c>
      <c r="H212" s="33">
        <f>IF(Pay_Num&lt;&gt;"",Beg_Bal*Interest_Rate/Num_Pmt_Per_Year,"")</f>
        <v>0</v>
      </c>
      <c r="I212" s="33">
        <f>IF(AND(Pay_Num&lt;&gt;"",Sched_Pay+Extra_Pay&lt;Beg_Bal),Beg_Bal-Princ,IF(Pay_Num&lt;&gt;"",0,""))</f>
        <v>0</v>
      </c>
      <c r="J212" s="33">
        <f>SUM($H$18:$H212)</f>
        <v>264024.10073253291</v>
      </c>
    </row>
    <row r="213" spans="1:10" x14ac:dyDescent="0.3">
      <c r="A213" s="36">
        <f>IF(Values_Entered,A212+1,"")</f>
        <v>196</v>
      </c>
      <c r="B213" s="35">
        <f>IF(Pay_Num&lt;&gt;"",DATE(YEAR(Loan_Start),MONTH(Loan_Start)+(Pay_Num)*12/Num_Pmt_Per_Year,DAY(Loan_Start)),"")</f>
        <v>51349</v>
      </c>
      <c r="C213" s="33">
        <f>IF(Pay_Num&lt;&gt;"",I212,"")</f>
        <v>0</v>
      </c>
      <c r="D213" s="33">
        <f>IF(Pay_Num&lt;&gt;"",Scheduled_Monthly_Payment,"")</f>
        <v>26333.835431927764</v>
      </c>
      <c r="E213" s="34">
        <f>IF(AND(Pay_Num&lt;&gt;"",Sched_Pay+Scheduled_Extra_Payments&lt;Beg_Bal),Scheduled_Extra_Payments,IF(AND(Pay_Num&lt;&gt;"",Beg_Bal-Sched_Pay&gt;0),Beg_Bal-Sched_Pay,IF(Pay_Num&lt;&gt;"",0,"")))</f>
        <v>0</v>
      </c>
      <c r="F213" s="33">
        <f>IF(AND(Pay_Num&lt;&gt;"",Sched_Pay+Extra_Pay&lt;Beg_Bal),Sched_Pay+Extra_Pay,IF(Pay_Num&lt;&gt;"",Beg_Bal,""))</f>
        <v>0</v>
      </c>
      <c r="G213" s="33">
        <f>IF(Pay_Num&lt;&gt;"",Total_Pay-Int,"")</f>
        <v>0</v>
      </c>
      <c r="H213" s="33">
        <f>IF(Pay_Num&lt;&gt;"",Beg_Bal*Interest_Rate/Num_Pmt_Per_Year,"")</f>
        <v>0</v>
      </c>
      <c r="I213" s="33">
        <f>IF(AND(Pay_Num&lt;&gt;"",Sched_Pay+Extra_Pay&lt;Beg_Bal),Beg_Bal-Princ,IF(Pay_Num&lt;&gt;"",0,""))</f>
        <v>0</v>
      </c>
      <c r="J213" s="33">
        <f>SUM($H$18:$H213)</f>
        <v>264024.10073253291</v>
      </c>
    </row>
    <row r="214" spans="1:10" x14ac:dyDescent="0.3">
      <c r="A214" s="36">
        <f>IF(Values_Entered,A213+1,"")</f>
        <v>197</v>
      </c>
      <c r="B214" s="35">
        <f>IF(Pay_Num&lt;&gt;"",DATE(YEAR(Loan_Start),MONTH(Loan_Start)+(Pay_Num)*12/Num_Pmt_Per_Year,DAY(Loan_Start)),"")</f>
        <v>51380</v>
      </c>
      <c r="C214" s="33">
        <f>IF(Pay_Num&lt;&gt;"",I213,"")</f>
        <v>0</v>
      </c>
      <c r="D214" s="33">
        <f>IF(Pay_Num&lt;&gt;"",Scheduled_Monthly_Payment,"")</f>
        <v>26333.835431927764</v>
      </c>
      <c r="E214" s="34">
        <f>IF(AND(Pay_Num&lt;&gt;"",Sched_Pay+Scheduled_Extra_Payments&lt;Beg_Bal),Scheduled_Extra_Payments,IF(AND(Pay_Num&lt;&gt;"",Beg_Bal-Sched_Pay&gt;0),Beg_Bal-Sched_Pay,IF(Pay_Num&lt;&gt;"",0,"")))</f>
        <v>0</v>
      </c>
      <c r="F214" s="33">
        <f>IF(AND(Pay_Num&lt;&gt;"",Sched_Pay+Extra_Pay&lt;Beg_Bal),Sched_Pay+Extra_Pay,IF(Pay_Num&lt;&gt;"",Beg_Bal,""))</f>
        <v>0</v>
      </c>
      <c r="G214" s="33">
        <f>IF(Pay_Num&lt;&gt;"",Total_Pay-Int,"")</f>
        <v>0</v>
      </c>
      <c r="H214" s="33">
        <f>IF(Pay_Num&lt;&gt;"",Beg_Bal*Interest_Rate/Num_Pmt_Per_Year,"")</f>
        <v>0</v>
      </c>
      <c r="I214" s="33">
        <f>IF(AND(Pay_Num&lt;&gt;"",Sched_Pay+Extra_Pay&lt;Beg_Bal),Beg_Bal-Princ,IF(Pay_Num&lt;&gt;"",0,""))</f>
        <v>0</v>
      </c>
      <c r="J214" s="33">
        <f>SUM($H$18:$H214)</f>
        <v>264024.10073253291</v>
      </c>
    </row>
    <row r="215" spans="1:10" x14ac:dyDescent="0.3">
      <c r="A215" s="36">
        <f>IF(Values_Entered,A214+1,"")</f>
        <v>198</v>
      </c>
      <c r="B215" s="35">
        <f>IF(Pay_Num&lt;&gt;"",DATE(YEAR(Loan_Start),MONTH(Loan_Start)+(Pay_Num)*12/Num_Pmt_Per_Year,DAY(Loan_Start)),"")</f>
        <v>51410</v>
      </c>
      <c r="C215" s="33">
        <f>IF(Pay_Num&lt;&gt;"",I214,"")</f>
        <v>0</v>
      </c>
      <c r="D215" s="33">
        <f>IF(Pay_Num&lt;&gt;"",Scheduled_Monthly_Payment,"")</f>
        <v>26333.835431927764</v>
      </c>
      <c r="E215" s="34">
        <f>IF(AND(Pay_Num&lt;&gt;"",Sched_Pay+Scheduled_Extra_Payments&lt;Beg_Bal),Scheduled_Extra_Payments,IF(AND(Pay_Num&lt;&gt;"",Beg_Bal-Sched_Pay&gt;0),Beg_Bal-Sched_Pay,IF(Pay_Num&lt;&gt;"",0,"")))</f>
        <v>0</v>
      </c>
      <c r="F215" s="33">
        <f>IF(AND(Pay_Num&lt;&gt;"",Sched_Pay+Extra_Pay&lt;Beg_Bal),Sched_Pay+Extra_Pay,IF(Pay_Num&lt;&gt;"",Beg_Bal,""))</f>
        <v>0</v>
      </c>
      <c r="G215" s="33">
        <f>IF(Pay_Num&lt;&gt;"",Total_Pay-Int,"")</f>
        <v>0</v>
      </c>
      <c r="H215" s="33">
        <f>IF(Pay_Num&lt;&gt;"",Beg_Bal*Interest_Rate/Num_Pmt_Per_Year,"")</f>
        <v>0</v>
      </c>
      <c r="I215" s="33">
        <f>IF(AND(Pay_Num&lt;&gt;"",Sched_Pay+Extra_Pay&lt;Beg_Bal),Beg_Bal-Princ,IF(Pay_Num&lt;&gt;"",0,""))</f>
        <v>0</v>
      </c>
      <c r="J215" s="33">
        <f>SUM($H$18:$H215)</f>
        <v>264024.10073253291</v>
      </c>
    </row>
    <row r="216" spans="1:10" x14ac:dyDescent="0.3">
      <c r="A216" s="36">
        <f>IF(Values_Entered,A215+1,"")</f>
        <v>199</v>
      </c>
      <c r="B216" s="35">
        <f>IF(Pay_Num&lt;&gt;"",DATE(YEAR(Loan_Start),MONTH(Loan_Start)+(Pay_Num)*12/Num_Pmt_Per_Year,DAY(Loan_Start)),"")</f>
        <v>51441</v>
      </c>
      <c r="C216" s="33">
        <f>IF(Pay_Num&lt;&gt;"",I215,"")</f>
        <v>0</v>
      </c>
      <c r="D216" s="33">
        <f>IF(Pay_Num&lt;&gt;"",Scheduled_Monthly_Payment,"")</f>
        <v>26333.835431927764</v>
      </c>
      <c r="E216" s="34">
        <f>IF(AND(Pay_Num&lt;&gt;"",Sched_Pay+Scheduled_Extra_Payments&lt;Beg_Bal),Scheduled_Extra_Payments,IF(AND(Pay_Num&lt;&gt;"",Beg_Bal-Sched_Pay&gt;0),Beg_Bal-Sched_Pay,IF(Pay_Num&lt;&gt;"",0,"")))</f>
        <v>0</v>
      </c>
      <c r="F216" s="33">
        <f>IF(AND(Pay_Num&lt;&gt;"",Sched_Pay+Extra_Pay&lt;Beg_Bal),Sched_Pay+Extra_Pay,IF(Pay_Num&lt;&gt;"",Beg_Bal,""))</f>
        <v>0</v>
      </c>
      <c r="G216" s="33">
        <f>IF(Pay_Num&lt;&gt;"",Total_Pay-Int,"")</f>
        <v>0</v>
      </c>
      <c r="H216" s="33">
        <f>IF(Pay_Num&lt;&gt;"",Beg_Bal*Interest_Rate/Num_Pmt_Per_Year,"")</f>
        <v>0</v>
      </c>
      <c r="I216" s="33">
        <f>IF(AND(Pay_Num&lt;&gt;"",Sched_Pay+Extra_Pay&lt;Beg_Bal),Beg_Bal-Princ,IF(Pay_Num&lt;&gt;"",0,""))</f>
        <v>0</v>
      </c>
      <c r="J216" s="33">
        <f>SUM($H$18:$H216)</f>
        <v>264024.10073253291</v>
      </c>
    </row>
    <row r="217" spans="1:10" x14ac:dyDescent="0.3">
      <c r="A217" s="36">
        <f>IF(Values_Entered,A216+1,"")</f>
        <v>200</v>
      </c>
      <c r="B217" s="35">
        <f>IF(Pay_Num&lt;&gt;"",DATE(YEAR(Loan_Start),MONTH(Loan_Start)+(Pay_Num)*12/Num_Pmt_Per_Year,DAY(Loan_Start)),"")</f>
        <v>51471</v>
      </c>
      <c r="C217" s="33">
        <f>IF(Pay_Num&lt;&gt;"",I216,"")</f>
        <v>0</v>
      </c>
      <c r="D217" s="33">
        <f>IF(Pay_Num&lt;&gt;"",Scheduled_Monthly_Payment,"")</f>
        <v>26333.835431927764</v>
      </c>
      <c r="E217" s="34">
        <f>IF(AND(Pay_Num&lt;&gt;"",Sched_Pay+Scheduled_Extra_Payments&lt;Beg_Bal),Scheduled_Extra_Payments,IF(AND(Pay_Num&lt;&gt;"",Beg_Bal-Sched_Pay&gt;0),Beg_Bal-Sched_Pay,IF(Pay_Num&lt;&gt;"",0,"")))</f>
        <v>0</v>
      </c>
      <c r="F217" s="33">
        <f>IF(AND(Pay_Num&lt;&gt;"",Sched_Pay+Extra_Pay&lt;Beg_Bal),Sched_Pay+Extra_Pay,IF(Pay_Num&lt;&gt;"",Beg_Bal,""))</f>
        <v>0</v>
      </c>
      <c r="G217" s="33">
        <f>IF(Pay_Num&lt;&gt;"",Total_Pay-Int,"")</f>
        <v>0</v>
      </c>
      <c r="H217" s="33">
        <f>IF(Pay_Num&lt;&gt;"",Beg_Bal*Interest_Rate/Num_Pmt_Per_Year,"")</f>
        <v>0</v>
      </c>
      <c r="I217" s="33">
        <f>IF(AND(Pay_Num&lt;&gt;"",Sched_Pay+Extra_Pay&lt;Beg_Bal),Beg_Bal-Princ,IF(Pay_Num&lt;&gt;"",0,""))</f>
        <v>0</v>
      </c>
      <c r="J217" s="33">
        <f>SUM($H$18:$H217)</f>
        <v>264024.10073253291</v>
      </c>
    </row>
    <row r="218" spans="1:10" x14ac:dyDescent="0.3">
      <c r="A218" s="36">
        <f>IF(Values_Entered,A217+1,"")</f>
        <v>201</v>
      </c>
      <c r="B218" s="35">
        <f>IF(Pay_Num&lt;&gt;"",DATE(YEAR(Loan_Start),MONTH(Loan_Start)+(Pay_Num)*12/Num_Pmt_Per_Year,DAY(Loan_Start)),"")</f>
        <v>51502</v>
      </c>
      <c r="C218" s="33">
        <f>IF(Pay_Num&lt;&gt;"",I217,"")</f>
        <v>0</v>
      </c>
      <c r="D218" s="33">
        <f>IF(Pay_Num&lt;&gt;"",Scheduled_Monthly_Payment,"")</f>
        <v>26333.835431927764</v>
      </c>
      <c r="E218" s="34">
        <f>IF(AND(Pay_Num&lt;&gt;"",Sched_Pay+Scheduled_Extra_Payments&lt;Beg_Bal),Scheduled_Extra_Payments,IF(AND(Pay_Num&lt;&gt;"",Beg_Bal-Sched_Pay&gt;0),Beg_Bal-Sched_Pay,IF(Pay_Num&lt;&gt;"",0,"")))</f>
        <v>0</v>
      </c>
      <c r="F218" s="33">
        <f>IF(AND(Pay_Num&lt;&gt;"",Sched_Pay+Extra_Pay&lt;Beg_Bal),Sched_Pay+Extra_Pay,IF(Pay_Num&lt;&gt;"",Beg_Bal,""))</f>
        <v>0</v>
      </c>
      <c r="G218" s="33">
        <f>IF(Pay_Num&lt;&gt;"",Total_Pay-Int,"")</f>
        <v>0</v>
      </c>
      <c r="H218" s="33">
        <f>IF(Pay_Num&lt;&gt;"",Beg_Bal*Interest_Rate/Num_Pmt_Per_Year,"")</f>
        <v>0</v>
      </c>
      <c r="I218" s="33">
        <f>IF(AND(Pay_Num&lt;&gt;"",Sched_Pay+Extra_Pay&lt;Beg_Bal),Beg_Bal-Princ,IF(Pay_Num&lt;&gt;"",0,""))</f>
        <v>0</v>
      </c>
      <c r="J218" s="33">
        <f>SUM($H$18:$H218)</f>
        <v>264024.10073253291</v>
      </c>
    </row>
    <row r="219" spans="1:10" x14ac:dyDescent="0.3">
      <c r="A219" s="36">
        <f>IF(Values_Entered,A218+1,"")</f>
        <v>202</v>
      </c>
      <c r="B219" s="35">
        <f>IF(Pay_Num&lt;&gt;"",DATE(YEAR(Loan_Start),MONTH(Loan_Start)+(Pay_Num)*12/Num_Pmt_Per_Year,DAY(Loan_Start)),"")</f>
        <v>51533</v>
      </c>
      <c r="C219" s="33">
        <f>IF(Pay_Num&lt;&gt;"",I218,"")</f>
        <v>0</v>
      </c>
      <c r="D219" s="33">
        <f>IF(Pay_Num&lt;&gt;"",Scheduled_Monthly_Payment,"")</f>
        <v>26333.835431927764</v>
      </c>
      <c r="E219" s="34">
        <f>IF(AND(Pay_Num&lt;&gt;"",Sched_Pay+Scheduled_Extra_Payments&lt;Beg_Bal),Scheduled_Extra_Payments,IF(AND(Pay_Num&lt;&gt;"",Beg_Bal-Sched_Pay&gt;0),Beg_Bal-Sched_Pay,IF(Pay_Num&lt;&gt;"",0,"")))</f>
        <v>0</v>
      </c>
      <c r="F219" s="33">
        <f>IF(AND(Pay_Num&lt;&gt;"",Sched_Pay+Extra_Pay&lt;Beg_Bal),Sched_Pay+Extra_Pay,IF(Pay_Num&lt;&gt;"",Beg_Bal,""))</f>
        <v>0</v>
      </c>
      <c r="G219" s="33">
        <f>IF(Pay_Num&lt;&gt;"",Total_Pay-Int,"")</f>
        <v>0</v>
      </c>
      <c r="H219" s="33">
        <f>IF(Pay_Num&lt;&gt;"",Beg_Bal*Interest_Rate/Num_Pmt_Per_Year,"")</f>
        <v>0</v>
      </c>
      <c r="I219" s="33">
        <f>IF(AND(Pay_Num&lt;&gt;"",Sched_Pay+Extra_Pay&lt;Beg_Bal),Beg_Bal-Princ,IF(Pay_Num&lt;&gt;"",0,""))</f>
        <v>0</v>
      </c>
      <c r="J219" s="33">
        <f>SUM($H$18:$H219)</f>
        <v>264024.10073253291</v>
      </c>
    </row>
    <row r="220" spans="1:10" x14ac:dyDescent="0.3">
      <c r="A220" s="36">
        <f>IF(Values_Entered,A219+1,"")</f>
        <v>203</v>
      </c>
      <c r="B220" s="35">
        <f>IF(Pay_Num&lt;&gt;"",DATE(YEAR(Loan_Start),MONTH(Loan_Start)+(Pay_Num)*12/Num_Pmt_Per_Year,DAY(Loan_Start)),"")</f>
        <v>51561</v>
      </c>
      <c r="C220" s="33">
        <f>IF(Pay_Num&lt;&gt;"",I219,"")</f>
        <v>0</v>
      </c>
      <c r="D220" s="33">
        <f>IF(Pay_Num&lt;&gt;"",Scheduled_Monthly_Payment,"")</f>
        <v>26333.835431927764</v>
      </c>
      <c r="E220" s="34">
        <f>IF(AND(Pay_Num&lt;&gt;"",Sched_Pay+Scheduled_Extra_Payments&lt;Beg_Bal),Scheduled_Extra_Payments,IF(AND(Pay_Num&lt;&gt;"",Beg_Bal-Sched_Pay&gt;0),Beg_Bal-Sched_Pay,IF(Pay_Num&lt;&gt;"",0,"")))</f>
        <v>0</v>
      </c>
      <c r="F220" s="33">
        <f>IF(AND(Pay_Num&lt;&gt;"",Sched_Pay+Extra_Pay&lt;Beg_Bal),Sched_Pay+Extra_Pay,IF(Pay_Num&lt;&gt;"",Beg_Bal,""))</f>
        <v>0</v>
      </c>
      <c r="G220" s="33">
        <f>IF(Pay_Num&lt;&gt;"",Total_Pay-Int,"")</f>
        <v>0</v>
      </c>
      <c r="H220" s="33">
        <f>IF(Pay_Num&lt;&gt;"",Beg_Bal*Interest_Rate/Num_Pmt_Per_Year,"")</f>
        <v>0</v>
      </c>
      <c r="I220" s="33">
        <f>IF(AND(Pay_Num&lt;&gt;"",Sched_Pay+Extra_Pay&lt;Beg_Bal),Beg_Bal-Princ,IF(Pay_Num&lt;&gt;"",0,""))</f>
        <v>0</v>
      </c>
      <c r="J220" s="33">
        <f>SUM($H$18:$H220)</f>
        <v>264024.10073253291</v>
      </c>
    </row>
    <row r="221" spans="1:10" x14ac:dyDescent="0.3">
      <c r="A221" s="36">
        <f>IF(Values_Entered,A220+1,"")</f>
        <v>204</v>
      </c>
      <c r="B221" s="35">
        <f>IF(Pay_Num&lt;&gt;"",DATE(YEAR(Loan_Start),MONTH(Loan_Start)+(Pay_Num)*12/Num_Pmt_Per_Year,DAY(Loan_Start)),"")</f>
        <v>51592</v>
      </c>
      <c r="C221" s="33">
        <f>IF(Pay_Num&lt;&gt;"",I220,"")</f>
        <v>0</v>
      </c>
      <c r="D221" s="33">
        <f>IF(Pay_Num&lt;&gt;"",Scheduled_Monthly_Payment,"")</f>
        <v>26333.835431927764</v>
      </c>
      <c r="E221" s="34">
        <f>IF(AND(Pay_Num&lt;&gt;"",Sched_Pay+Scheduled_Extra_Payments&lt;Beg_Bal),Scheduled_Extra_Payments,IF(AND(Pay_Num&lt;&gt;"",Beg_Bal-Sched_Pay&gt;0),Beg_Bal-Sched_Pay,IF(Pay_Num&lt;&gt;"",0,"")))</f>
        <v>0</v>
      </c>
      <c r="F221" s="33">
        <f>IF(AND(Pay_Num&lt;&gt;"",Sched_Pay+Extra_Pay&lt;Beg_Bal),Sched_Pay+Extra_Pay,IF(Pay_Num&lt;&gt;"",Beg_Bal,""))</f>
        <v>0</v>
      </c>
      <c r="G221" s="33">
        <f>IF(Pay_Num&lt;&gt;"",Total_Pay-Int,"")</f>
        <v>0</v>
      </c>
      <c r="H221" s="33">
        <f>IF(Pay_Num&lt;&gt;"",Beg_Bal*Interest_Rate/Num_Pmt_Per_Year,"")</f>
        <v>0</v>
      </c>
      <c r="I221" s="33">
        <f>IF(AND(Pay_Num&lt;&gt;"",Sched_Pay+Extra_Pay&lt;Beg_Bal),Beg_Bal-Princ,IF(Pay_Num&lt;&gt;"",0,""))</f>
        <v>0</v>
      </c>
      <c r="J221" s="33">
        <f>SUM($H$18:$H221)</f>
        <v>264024.10073253291</v>
      </c>
    </row>
    <row r="222" spans="1:10" x14ac:dyDescent="0.3">
      <c r="A222" s="36">
        <f>IF(Values_Entered,A221+1,"")</f>
        <v>205</v>
      </c>
      <c r="B222" s="35">
        <f>IF(Pay_Num&lt;&gt;"",DATE(YEAR(Loan_Start),MONTH(Loan_Start)+(Pay_Num)*12/Num_Pmt_Per_Year,DAY(Loan_Start)),"")</f>
        <v>51622</v>
      </c>
      <c r="C222" s="33">
        <f>IF(Pay_Num&lt;&gt;"",I221,"")</f>
        <v>0</v>
      </c>
      <c r="D222" s="33">
        <f>IF(Pay_Num&lt;&gt;"",Scheduled_Monthly_Payment,"")</f>
        <v>26333.835431927764</v>
      </c>
      <c r="E222" s="34">
        <f>IF(AND(Pay_Num&lt;&gt;"",Sched_Pay+Scheduled_Extra_Payments&lt;Beg_Bal),Scheduled_Extra_Payments,IF(AND(Pay_Num&lt;&gt;"",Beg_Bal-Sched_Pay&gt;0),Beg_Bal-Sched_Pay,IF(Pay_Num&lt;&gt;"",0,"")))</f>
        <v>0</v>
      </c>
      <c r="F222" s="33">
        <f>IF(AND(Pay_Num&lt;&gt;"",Sched_Pay+Extra_Pay&lt;Beg_Bal),Sched_Pay+Extra_Pay,IF(Pay_Num&lt;&gt;"",Beg_Bal,""))</f>
        <v>0</v>
      </c>
      <c r="G222" s="33">
        <f>IF(Pay_Num&lt;&gt;"",Total_Pay-Int,"")</f>
        <v>0</v>
      </c>
      <c r="H222" s="33">
        <f>IF(Pay_Num&lt;&gt;"",Beg_Bal*Interest_Rate/Num_Pmt_Per_Year,"")</f>
        <v>0</v>
      </c>
      <c r="I222" s="33">
        <f>IF(AND(Pay_Num&lt;&gt;"",Sched_Pay+Extra_Pay&lt;Beg_Bal),Beg_Bal-Princ,IF(Pay_Num&lt;&gt;"",0,""))</f>
        <v>0</v>
      </c>
      <c r="J222" s="33">
        <f>SUM($H$18:$H222)</f>
        <v>264024.10073253291</v>
      </c>
    </row>
    <row r="223" spans="1:10" x14ac:dyDescent="0.3">
      <c r="A223" s="36">
        <f>IF(Values_Entered,A222+1,"")</f>
        <v>206</v>
      </c>
      <c r="B223" s="35">
        <f>IF(Pay_Num&lt;&gt;"",DATE(YEAR(Loan_Start),MONTH(Loan_Start)+(Pay_Num)*12/Num_Pmt_Per_Year,DAY(Loan_Start)),"")</f>
        <v>51653</v>
      </c>
      <c r="C223" s="33">
        <f>IF(Pay_Num&lt;&gt;"",I222,"")</f>
        <v>0</v>
      </c>
      <c r="D223" s="33">
        <f>IF(Pay_Num&lt;&gt;"",Scheduled_Monthly_Payment,"")</f>
        <v>26333.835431927764</v>
      </c>
      <c r="E223" s="34">
        <f>IF(AND(Pay_Num&lt;&gt;"",Sched_Pay+Scheduled_Extra_Payments&lt;Beg_Bal),Scheduled_Extra_Payments,IF(AND(Pay_Num&lt;&gt;"",Beg_Bal-Sched_Pay&gt;0),Beg_Bal-Sched_Pay,IF(Pay_Num&lt;&gt;"",0,"")))</f>
        <v>0</v>
      </c>
      <c r="F223" s="33">
        <f>IF(AND(Pay_Num&lt;&gt;"",Sched_Pay+Extra_Pay&lt;Beg_Bal),Sched_Pay+Extra_Pay,IF(Pay_Num&lt;&gt;"",Beg_Bal,""))</f>
        <v>0</v>
      </c>
      <c r="G223" s="33">
        <f>IF(Pay_Num&lt;&gt;"",Total_Pay-Int,"")</f>
        <v>0</v>
      </c>
      <c r="H223" s="33">
        <f>IF(Pay_Num&lt;&gt;"",Beg_Bal*Interest_Rate/Num_Pmt_Per_Year,"")</f>
        <v>0</v>
      </c>
      <c r="I223" s="33">
        <f>IF(AND(Pay_Num&lt;&gt;"",Sched_Pay+Extra_Pay&lt;Beg_Bal),Beg_Bal-Princ,IF(Pay_Num&lt;&gt;"",0,""))</f>
        <v>0</v>
      </c>
      <c r="J223" s="33">
        <f>SUM($H$18:$H223)</f>
        <v>264024.10073253291</v>
      </c>
    </row>
    <row r="224" spans="1:10" x14ac:dyDescent="0.3">
      <c r="A224" s="36">
        <f>IF(Values_Entered,A223+1,"")</f>
        <v>207</v>
      </c>
      <c r="B224" s="35">
        <f>IF(Pay_Num&lt;&gt;"",DATE(YEAR(Loan_Start),MONTH(Loan_Start)+(Pay_Num)*12/Num_Pmt_Per_Year,DAY(Loan_Start)),"")</f>
        <v>51683</v>
      </c>
      <c r="C224" s="33">
        <f>IF(Pay_Num&lt;&gt;"",I223,"")</f>
        <v>0</v>
      </c>
      <c r="D224" s="33">
        <f>IF(Pay_Num&lt;&gt;"",Scheduled_Monthly_Payment,"")</f>
        <v>26333.835431927764</v>
      </c>
      <c r="E224" s="34">
        <f>IF(AND(Pay_Num&lt;&gt;"",Sched_Pay+Scheduled_Extra_Payments&lt;Beg_Bal),Scheduled_Extra_Payments,IF(AND(Pay_Num&lt;&gt;"",Beg_Bal-Sched_Pay&gt;0),Beg_Bal-Sched_Pay,IF(Pay_Num&lt;&gt;"",0,"")))</f>
        <v>0</v>
      </c>
      <c r="F224" s="33">
        <f>IF(AND(Pay_Num&lt;&gt;"",Sched_Pay+Extra_Pay&lt;Beg_Bal),Sched_Pay+Extra_Pay,IF(Pay_Num&lt;&gt;"",Beg_Bal,""))</f>
        <v>0</v>
      </c>
      <c r="G224" s="33">
        <f>IF(Pay_Num&lt;&gt;"",Total_Pay-Int,"")</f>
        <v>0</v>
      </c>
      <c r="H224" s="33">
        <f>IF(Pay_Num&lt;&gt;"",Beg_Bal*Interest_Rate/Num_Pmt_Per_Year,"")</f>
        <v>0</v>
      </c>
      <c r="I224" s="33">
        <f>IF(AND(Pay_Num&lt;&gt;"",Sched_Pay+Extra_Pay&lt;Beg_Bal),Beg_Bal-Princ,IF(Pay_Num&lt;&gt;"",0,""))</f>
        <v>0</v>
      </c>
      <c r="J224" s="33">
        <f>SUM($H$18:$H224)</f>
        <v>264024.10073253291</v>
      </c>
    </row>
    <row r="225" spans="1:10" x14ac:dyDescent="0.3">
      <c r="A225" s="36">
        <f>IF(Values_Entered,A224+1,"")</f>
        <v>208</v>
      </c>
      <c r="B225" s="35">
        <f>IF(Pay_Num&lt;&gt;"",DATE(YEAR(Loan_Start),MONTH(Loan_Start)+(Pay_Num)*12/Num_Pmt_Per_Year,DAY(Loan_Start)),"")</f>
        <v>51714</v>
      </c>
      <c r="C225" s="33">
        <f>IF(Pay_Num&lt;&gt;"",I224,"")</f>
        <v>0</v>
      </c>
      <c r="D225" s="33">
        <f>IF(Pay_Num&lt;&gt;"",Scheduled_Monthly_Payment,"")</f>
        <v>26333.835431927764</v>
      </c>
      <c r="E225" s="34">
        <f>IF(AND(Pay_Num&lt;&gt;"",Sched_Pay+Scheduled_Extra_Payments&lt;Beg_Bal),Scheduled_Extra_Payments,IF(AND(Pay_Num&lt;&gt;"",Beg_Bal-Sched_Pay&gt;0),Beg_Bal-Sched_Pay,IF(Pay_Num&lt;&gt;"",0,"")))</f>
        <v>0</v>
      </c>
      <c r="F225" s="33">
        <f>IF(AND(Pay_Num&lt;&gt;"",Sched_Pay+Extra_Pay&lt;Beg_Bal),Sched_Pay+Extra_Pay,IF(Pay_Num&lt;&gt;"",Beg_Bal,""))</f>
        <v>0</v>
      </c>
      <c r="G225" s="33">
        <f>IF(Pay_Num&lt;&gt;"",Total_Pay-Int,"")</f>
        <v>0</v>
      </c>
      <c r="H225" s="33">
        <f>IF(Pay_Num&lt;&gt;"",Beg_Bal*Interest_Rate/Num_Pmt_Per_Year,"")</f>
        <v>0</v>
      </c>
      <c r="I225" s="33">
        <f>IF(AND(Pay_Num&lt;&gt;"",Sched_Pay+Extra_Pay&lt;Beg_Bal),Beg_Bal-Princ,IF(Pay_Num&lt;&gt;"",0,""))</f>
        <v>0</v>
      </c>
      <c r="J225" s="33">
        <f>SUM($H$18:$H225)</f>
        <v>264024.10073253291</v>
      </c>
    </row>
    <row r="226" spans="1:10" x14ac:dyDescent="0.3">
      <c r="A226" s="36">
        <f>IF(Values_Entered,A225+1,"")</f>
        <v>209</v>
      </c>
      <c r="B226" s="35">
        <f>IF(Pay_Num&lt;&gt;"",DATE(YEAR(Loan_Start),MONTH(Loan_Start)+(Pay_Num)*12/Num_Pmt_Per_Year,DAY(Loan_Start)),"")</f>
        <v>51745</v>
      </c>
      <c r="C226" s="33">
        <f>IF(Pay_Num&lt;&gt;"",I225,"")</f>
        <v>0</v>
      </c>
      <c r="D226" s="33">
        <f>IF(Pay_Num&lt;&gt;"",Scheduled_Monthly_Payment,"")</f>
        <v>26333.835431927764</v>
      </c>
      <c r="E226" s="34">
        <f>IF(AND(Pay_Num&lt;&gt;"",Sched_Pay+Scheduled_Extra_Payments&lt;Beg_Bal),Scheduled_Extra_Payments,IF(AND(Pay_Num&lt;&gt;"",Beg_Bal-Sched_Pay&gt;0),Beg_Bal-Sched_Pay,IF(Pay_Num&lt;&gt;"",0,"")))</f>
        <v>0</v>
      </c>
      <c r="F226" s="33">
        <f>IF(AND(Pay_Num&lt;&gt;"",Sched_Pay+Extra_Pay&lt;Beg_Bal),Sched_Pay+Extra_Pay,IF(Pay_Num&lt;&gt;"",Beg_Bal,""))</f>
        <v>0</v>
      </c>
      <c r="G226" s="33">
        <f>IF(Pay_Num&lt;&gt;"",Total_Pay-Int,"")</f>
        <v>0</v>
      </c>
      <c r="H226" s="33">
        <f>IF(Pay_Num&lt;&gt;"",Beg_Bal*Interest_Rate/Num_Pmt_Per_Year,"")</f>
        <v>0</v>
      </c>
      <c r="I226" s="33">
        <f>IF(AND(Pay_Num&lt;&gt;"",Sched_Pay+Extra_Pay&lt;Beg_Bal),Beg_Bal-Princ,IF(Pay_Num&lt;&gt;"",0,""))</f>
        <v>0</v>
      </c>
      <c r="J226" s="33">
        <f>SUM($H$18:$H226)</f>
        <v>264024.10073253291</v>
      </c>
    </row>
    <row r="227" spans="1:10" x14ac:dyDescent="0.3">
      <c r="A227" s="36">
        <f>IF(Values_Entered,A226+1,"")</f>
        <v>210</v>
      </c>
      <c r="B227" s="35">
        <f>IF(Pay_Num&lt;&gt;"",DATE(YEAR(Loan_Start),MONTH(Loan_Start)+(Pay_Num)*12/Num_Pmt_Per_Year,DAY(Loan_Start)),"")</f>
        <v>51775</v>
      </c>
      <c r="C227" s="33">
        <f>IF(Pay_Num&lt;&gt;"",I226,"")</f>
        <v>0</v>
      </c>
      <c r="D227" s="33">
        <f>IF(Pay_Num&lt;&gt;"",Scheduled_Monthly_Payment,"")</f>
        <v>26333.835431927764</v>
      </c>
      <c r="E227" s="34">
        <f>IF(AND(Pay_Num&lt;&gt;"",Sched_Pay+Scheduled_Extra_Payments&lt;Beg_Bal),Scheduled_Extra_Payments,IF(AND(Pay_Num&lt;&gt;"",Beg_Bal-Sched_Pay&gt;0),Beg_Bal-Sched_Pay,IF(Pay_Num&lt;&gt;"",0,"")))</f>
        <v>0</v>
      </c>
      <c r="F227" s="33">
        <f>IF(AND(Pay_Num&lt;&gt;"",Sched_Pay+Extra_Pay&lt;Beg_Bal),Sched_Pay+Extra_Pay,IF(Pay_Num&lt;&gt;"",Beg_Bal,""))</f>
        <v>0</v>
      </c>
      <c r="G227" s="33">
        <f>IF(Pay_Num&lt;&gt;"",Total_Pay-Int,"")</f>
        <v>0</v>
      </c>
      <c r="H227" s="33">
        <f>IF(Pay_Num&lt;&gt;"",Beg_Bal*Interest_Rate/Num_Pmt_Per_Year,"")</f>
        <v>0</v>
      </c>
      <c r="I227" s="33">
        <f>IF(AND(Pay_Num&lt;&gt;"",Sched_Pay+Extra_Pay&lt;Beg_Bal),Beg_Bal-Princ,IF(Pay_Num&lt;&gt;"",0,""))</f>
        <v>0</v>
      </c>
      <c r="J227" s="33">
        <f>SUM($H$18:$H227)</f>
        <v>264024.10073253291</v>
      </c>
    </row>
    <row r="228" spans="1:10" x14ac:dyDescent="0.3">
      <c r="A228" s="36">
        <f>IF(Values_Entered,A227+1,"")</f>
        <v>211</v>
      </c>
      <c r="B228" s="35">
        <f>IF(Pay_Num&lt;&gt;"",DATE(YEAR(Loan_Start),MONTH(Loan_Start)+(Pay_Num)*12/Num_Pmt_Per_Year,DAY(Loan_Start)),"")</f>
        <v>51806</v>
      </c>
      <c r="C228" s="33">
        <f>IF(Pay_Num&lt;&gt;"",I227,"")</f>
        <v>0</v>
      </c>
      <c r="D228" s="33">
        <f>IF(Pay_Num&lt;&gt;"",Scheduled_Monthly_Payment,"")</f>
        <v>26333.835431927764</v>
      </c>
      <c r="E228" s="34">
        <f>IF(AND(Pay_Num&lt;&gt;"",Sched_Pay+Scheduled_Extra_Payments&lt;Beg_Bal),Scheduled_Extra_Payments,IF(AND(Pay_Num&lt;&gt;"",Beg_Bal-Sched_Pay&gt;0),Beg_Bal-Sched_Pay,IF(Pay_Num&lt;&gt;"",0,"")))</f>
        <v>0</v>
      </c>
      <c r="F228" s="33">
        <f>IF(AND(Pay_Num&lt;&gt;"",Sched_Pay+Extra_Pay&lt;Beg_Bal),Sched_Pay+Extra_Pay,IF(Pay_Num&lt;&gt;"",Beg_Bal,""))</f>
        <v>0</v>
      </c>
      <c r="G228" s="33">
        <f>IF(Pay_Num&lt;&gt;"",Total_Pay-Int,"")</f>
        <v>0</v>
      </c>
      <c r="H228" s="33">
        <f>IF(Pay_Num&lt;&gt;"",Beg_Bal*Interest_Rate/Num_Pmt_Per_Year,"")</f>
        <v>0</v>
      </c>
      <c r="I228" s="33">
        <f>IF(AND(Pay_Num&lt;&gt;"",Sched_Pay+Extra_Pay&lt;Beg_Bal),Beg_Bal-Princ,IF(Pay_Num&lt;&gt;"",0,""))</f>
        <v>0</v>
      </c>
      <c r="J228" s="33">
        <f>SUM($H$18:$H228)</f>
        <v>264024.10073253291</v>
      </c>
    </row>
    <row r="229" spans="1:10" x14ac:dyDescent="0.3">
      <c r="A229" s="36">
        <f>IF(Values_Entered,A228+1,"")</f>
        <v>212</v>
      </c>
      <c r="B229" s="35">
        <f>IF(Pay_Num&lt;&gt;"",DATE(YEAR(Loan_Start),MONTH(Loan_Start)+(Pay_Num)*12/Num_Pmt_Per_Year,DAY(Loan_Start)),"")</f>
        <v>51836</v>
      </c>
      <c r="C229" s="33">
        <f>IF(Pay_Num&lt;&gt;"",I228,"")</f>
        <v>0</v>
      </c>
      <c r="D229" s="33">
        <f>IF(Pay_Num&lt;&gt;"",Scheduled_Monthly_Payment,"")</f>
        <v>26333.835431927764</v>
      </c>
      <c r="E229" s="34">
        <f>IF(AND(Pay_Num&lt;&gt;"",Sched_Pay+Scheduled_Extra_Payments&lt;Beg_Bal),Scheduled_Extra_Payments,IF(AND(Pay_Num&lt;&gt;"",Beg_Bal-Sched_Pay&gt;0),Beg_Bal-Sched_Pay,IF(Pay_Num&lt;&gt;"",0,"")))</f>
        <v>0</v>
      </c>
      <c r="F229" s="33">
        <f>IF(AND(Pay_Num&lt;&gt;"",Sched_Pay+Extra_Pay&lt;Beg_Bal),Sched_Pay+Extra_Pay,IF(Pay_Num&lt;&gt;"",Beg_Bal,""))</f>
        <v>0</v>
      </c>
      <c r="G229" s="33">
        <f>IF(Pay_Num&lt;&gt;"",Total_Pay-Int,"")</f>
        <v>0</v>
      </c>
      <c r="H229" s="33">
        <f>IF(Pay_Num&lt;&gt;"",Beg_Bal*Interest_Rate/Num_Pmt_Per_Year,"")</f>
        <v>0</v>
      </c>
      <c r="I229" s="33">
        <f>IF(AND(Pay_Num&lt;&gt;"",Sched_Pay+Extra_Pay&lt;Beg_Bal),Beg_Bal-Princ,IF(Pay_Num&lt;&gt;"",0,""))</f>
        <v>0</v>
      </c>
      <c r="J229" s="33">
        <f>SUM($H$18:$H229)</f>
        <v>264024.10073253291</v>
      </c>
    </row>
    <row r="230" spans="1:10" x14ac:dyDescent="0.3">
      <c r="A230" s="36">
        <f>IF(Values_Entered,A229+1,"")</f>
        <v>213</v>
      </c>
      <c r="B230" s="35">
        <f>IF(Pay_Num&lt;&gt;"",DATE(YEAR(Loan_Start),MONTH(Loan_Start)+(Pay_Num)*12/Num_Pmt_Per_Year,DAY(Loan_Start)),"")</f>
        <v>51867</v>
      </c>
      <c r="C230" s="33">
        <f>IF(Pay_Num&lt;&gt;"",I229,"")</f>
        <v>0</v>
      </c>
      <c r="D230" s="33">
        <f>IF(Pay_Num&lt;&gt;"",Scheduled_Monthly_Payment,"")</f>
        <v>26333.835431927764</v>
      </c>
      <c r="E230" s="34">
        <f>IF(AND(Pay_Num&lt;&gt;"",Sched_Pay+Scheduled_Extra_Payments&lt;Beg_Bal),Scheduled_Extra_Payments,IF(AND(Pay_Num&lt;&gt;"",Beg_Bal-Sched_Pay&gt;0),Beg_Bal-Sched_Pay,IF(Pay_Num&lt;&gt;"",0,"")))</f>
        <v>0</v>
      </c>
      <c r="F230" s="33">
        <f>IF(AND(Pay_Num&lt;&gt;"",Sched_Pay+Extra_Pay&lt;Beg_Bal),Sched_Pay+Extra_Pay,IF(Pay_Num&lt;&gt;"",Beg_Bal,""))</f>
        <v>0</v>
      </c>
      <c r="G230" s="33">
        <f>IF(Pay_Num&lt;&gt;"",Total_Pay-Int,"")</f>
        <v>0</v>
      </c>
      <c r="H230" s="33">
        <f>IF(Pay_Num&lt;&gt;"",Beg_Bal*Interest_Rate/Num_Pmt_Per_Year,"")</f>
        <v>0</v>
      </c>
      <c r="I230" s="33">
        <f>IF(AND(Pay_Num&lt;&gt;"",Sched_Pay+Extra_Pay&lt;Beg_Bal),Beg_Bal-Princ,IF(Pay_Num&lt;&gt;"",0,""))</f>
        <v>0</v>
      </c>
      <c r="J230" s="33">
        <f>SUM($H$18:$H230)</f>
        <v>264024.10073253291</v>
      </c>
    </row>
    <row r="231" spans="1:10" x14ac:dyDescent="0.3">
      <c r="A231" s="36">
        <f>IF(Values_Entered,A230+1,"")</f>
        <v>214</v>
      </c>
      <c r="B231" s="35">
        <f>IF(Pay_Num&lt;&gt;"",DATE(YEAR(Loan_Start),MONTH(Loan_Start)+(Pay_Num)*12/Num_Pmt_Per_Year,DAY(Loan_Start)),"")</f>
        <v>51898</v>
      </c>
      <c r="C231" s="33">
        <f>IF(Pay_Num&lt;&gt;"",I230,"")</f>
        <v>0</v>
      </c>
      <c r="D231" s="33">
        <f>IF(Pay_Num&lt;&gt;"",Scheduled_Monthly_Payment,"")</f>
        <v>26333.835431927764</v>
      </c>
      <c r="E231" s="34">
        <f>IF(AND(Pay_Num&lt;&gt;"",Sched_Pay+Scheduled_Extra_Payments&lt;Beg_Bal),Scheduled_Extra_Payments,IF(AND(Pay_Num&lt;&gt;"",Beg_Bal-Sched_Pay&gt;0),Beg_Bal-Sched_Pay,IF(Pay_Num&lt;&gt;"",0,"")))</f>
        <v>0</v>
      </c>
      <c r="F231" s="33">
        <f>IF(AND(Pay_Num&lt;&gt;"",Sched_Pay+Extra_Pay&lt;Beg_Bal),Sched_Pay+Extra_Pay,IF(Pay_Num&lt;&gt;"",Beg_Bal,""))</f>
        <v>0</v>
      </c>
      <c r="G231" s="33">
        <f>IF(Pay_Num&lt;&gt;"",Total_Pay-Int,"")</f>
        <v>0</v>
      </c>
      <c r="H231" s="33">
        <f>IF(Pay_Num&lt;&gt;"",Beg_Bal*Interest_Rate/Num_Pmt_Per_Year,"")</f>
        <v>0</v>
      </c>
      <c r="I231" s="33">
        <f>IF(AND(Pay_Num&lt;&gt;"",Sched_Pay+Extra_Pay&lt;Beg_Bal),Beg_Bal-Princ,IF(Pay_Num&lt;&gt;"",0,""))</f>
        <v>0</v>
      </c>
      <c r="J231" s="33">
        <f>SUM($H$18:$H231)</f>
        <v>264024.10073253291</v>
      </c>
    </row>
    <row r="232" spans="1:10" x14ac:dyDescent="0.3">
      <c r="A232" s="36">
        <f>IF(Values_Entered,A231+1,"")</f>
        <v>215</v>
      </c>
      <c r="B232" s="35">
        <f>IF(Pay_Num&lt;&gt;"",DATE(YEAR(Loan_Start),MONTH(Loan_Start)+(Pay_Num)*12/Num_Pmt_Per_Year,DAY(Loan_Start)),"")</f>
        <v>51926</v>
      </c>
      <c r="C232" s="33">
        <f>IF(Pay_Num&lt;&gt;"",I231,"")</f>
        <v>0</v>
      </c>
      <c r="D232" s="33">
        <f>IF(Pay_Num&lt;&gt;"",Scheduled_Monthly_Payment,"")</f>
        <v>26333.835431927764</v>
      </c>
      <c r="E232" s="34">
        <f>IF(AND(Pay_Num&lt;&gt;"",Sched_Pay+Scheduled_Extra_Payments&lt;Beg_Bal),Scheduled_Extra_Payments,IF(AND(Pay_Num&lt;&gt;"",Beg_Bal-Sched_Pay&gt;0),Beg_Bal-Sched_Pay,IF(Pay_Num&lt;&gt;"",0,"")))</f>
        <v>0</v>
      </c>
      <c r="F232" s="33">
        <f>IF(AND(Pay_Num&lt;&gt;"",Sched_Pay+Extra_Pay&lt;Beg_Bal),Sched_Pay+Extra_Pay,IF(Pay_Num&lt;&gt;"",Beg_Bal,""))</f>
        <v>0</v>
      </c>
      <c r="G232" s="33">
        <f>IF(Pay_Num&lt;&gt;"",Total_Pay-Int,"")</f>
        <v>0</v>
      </c>
      <c r="H232" s="33">
        <f>IF(Pay_Num&lt;&gt;"",Beg_Bal*Interest_Rate/Num_Pmt_Per_Year,"")</f>
        <v>0</v>
      </c>
      <c r="I232" s="33">
        <f>IF(AND(Pay_Num&lt;&gt;"",Sched_Pay+Extra_Pay&lt;Beg_Bal),Beg_Bal-Princ,IF(Pay_Num&lt;&gt;"",0,""))</f>
        <v>0</v>
      </c>
      <c r="J232" s="33">
        <f>SUM($H$18:$H232)</f>
        <v>264024.10073253291</v>
      </c>
    </row>
    <row r="233" spans="1:10" x14ac:dyDescent="0.3">
      <c r="A233" s="36">
        <f>IF(Values_Entered,A232+1,"")</f>
        <v>216</v>
      </c>
      <c r="B233" s="35">
        <f>IF(Pay_Num&lt;&gt;"",DATE(YEAR(Loan_Start),MONTH(Loan_Start)+(Pay_Num)*12/Num_Pmt_Per_Year,DAY(Loan_Start)),"")</f>
        <v>51957</v>
      </c>
      <c r="C233" s="33">
        <f>IF(Pay_Num&lt;&gt;"",I232,"")</f>
        <v>0</v>
      </c>
      <c r="D233" s="33">
        <f>IF(Pay_Num&lt;&gt;"",Scheduled_Monthly_Payment,"")</f>
        <v>26333.835431927764</v>
      </c>
      <c r="E233" s="34">
        <f>IF(AND(Pay_Num&lt;&gt;"",Sched_Pay+Scheduled_Extra_Payments&lt;Beg_Bal),Scheduled_Extra_Payments,IF(AND(Pay_Num&lt;&gt;"",Beg_Bal-Sched_Pay&gt;0),Beg_Bal-Sched_Pay,IF(Pay_Num&lt;&gt;"",0,"")))</f>
        <v>0</v>
      </c>
      <c r="F233" s="33">
        <f>IF(AND(Pay_Num&lt;&gt;"",Sched_Pay+Extra_Pay&lt;Beg_Bal),Sched_Pay+Extra_Pay,IF(Pay_Num&lt;&gt;"",Beg_Bal,""))</f>
        <v>0</v>
      </c>
      <c r="G233" s="33">
        <f>IF(Pay_Num&lt;&gt;"",Total_Pay-Int,"")</f>
        <v>0</v>
      </c>
      <c r="H233" s="33">
        <f>IF(Pay_Num&lt;&gt;"",Beg_Bal*Interest_Rate/Num_Pmt_Per_Year,"")</f>
        <v>0</v>
      </c>
      <c r="I233" s="33">
        <f>IF(AND(Pay_Num&lt;&gt;"",Sched_Pay+Extra_Pay&lt;Beg_Bal),Beg_Bal-Princ,IF(Pay_Num&lt;&gt;"",0,""))</f>
        <v>0</v>
      </c>
      <c r="J233" s="33">
        <f>SUM($H$18:$H233)</f>
        <v>264024.10073253291</v>
      </c>
    </row>
    <row r="234" spans="1:10" x14ac:dyDescent="0.3">
      <c r="A234" s="36">
        <f>IF(Values_Entered,A233+1,"")</f>
        <v>217</v>
      </c>
      <c r="B234" s="35">
        <f>IF(Pay_Num&lt;&gt;"",DATE(YEAR(Loan_Start),MONTH(Loan_Start)+(Pay_Num)*12/Num_Pmt_Per_Year,DAY(Loan_Start)),"")</f>
        <v>51987</v>
      </c>
      <c r="C234" s="33">
        <f>IF(Pay_Num&lt;&gt;"",I233,"")</f>
        <v>0</v>
      </c>
      <c r="D234" s="33">
        <f>IF(Pay_Num&lt;&gt;"",Scheduled_Monthly_Payment,"")</f>
        <v>26333.835431927764</v>
      </c>
      <c r="E234" s="34">
        <f>IF(AND(Pay_Num&lt;&gt;"",Sched_Pay+Scheduled_Extra_Payments&lt;Beg_Bal),Scheduled_Extra_Payments,IF(AND(Pay_Num&lt;&gt;"",Beg_Bal-Sched_Pay&gt;0),Beg_Bal-Sched_Pay,IF(Pay_Num&lt;&gt;"",0,"")))</f>
        <v>0</v>
      </c>
      <c r="F234" s="33">
        <f>IF(AND(Pay_Num&lt;&gt;"",Sched_Pay+Extra_Pay&lt;Beg_Bal),Sched_Pay+Extra_Pay,IF(Pay_Num&lt;&gt;"",Beg_Bal,""))</f>
        <v>0</v>
      </c>
      <c r="G234" s="33">
        <f>IF(Pay_Num&lt;&gt;"",Total_Pay-Int,"")</f>
        <v>0</v>
      </c>
      <c r="H234" s="33">
        <f>IF(Pay_Num&lt;&gt;"",Beg_Bal*Interest_Rate/Num_Pmt_Per_Year,"")</f>
        <v>0</v>
      </c>
      <c r="I234" s="33">
        <f>IF(AND(Pay_Num&lt;&gt;"",Sched_Pay+Extra_Pay&lt;Beg_Bal),Beg_Bal-Princ,IF(Pay_Num&lt;&gt;"",0,""))</f>
        <v>0</v>
      </c>
      <c r="J234" s="33">
        <f>SUM($H$18:$H234)</f>
        <v>264024.10073253291</v>
      </c>
    </row>
    <row r="235" spans="1:10" x14ac:dyDescent="0.3">
      <c r="A235" s="36">
        <f>IF(Values_Entered,A234+1,"")</f>
        <v>218</v>
      </c>
      <c r="B235" s="35">
        <f>IF(Pay_Num&lt;&gt;"",DATE(YEAR(Loan_Start),MONTH(Loan_Start)+(Pay_Num)*12/Num_Pmt_Per_Year,DAY(Loan_Start)),"")</f>
        <v>52018</v>
      </c>
      <c r="C235" s="33">
        <f>IF(Pay_Num&lt;&gt;"",I234,"")</f>
        <v>0</v>
      </c>
      <c r="D235" s="33">
        <f>IF(Pay_Num&lt;&gt;"",Scheduled_Monthly_Payment,"")</f>
        <v>26333.835431927764</v>
      </c>
      <c r="E235" s="34">
        <f>IF(AND(Pay_Num&lt;&gt;"",Sched_Pay+Scheduled_Extra_Payments&lt;Beg_Bal),Scheduled_Extra_Payments,IF(AND(Pay_Num&lt;&gt;"",Beg_Bal-Sched_Pay&gt;0),Beg_Bal-Sched_Pay,IF(Pay_Num&lt;&gt;"",0,"")))</f>
        <v>0</v>
      </c>
      <c r="F235" s="33">
        <f>IF(AND(Pay_Num&lt;&gt;"",Sched_Pay+Extra_Pay&lt;Beg_Bal),Sched_Pay+Extra_Pay,IF(Pay_Num&lt;&gt;"",Beg_Bal,""))</f>
        <v>0</v>
      </c>
      <c r="G235" s="33">
        <f>IF(Pay_Num&lt;&gt;"",Total_Pay-Int,"")</f>
        <v>0</v>
      </c>
      <c r="H235" s="33">
        <f>IF(Pay_Num&lt;&gt;"",Beg_Bal*Interest_Rate/Num_Pmt_Per_Year,"")</f>
        <v>0</v>
      </c>
      <c r="I235" s="33">
        <f>IF(AND(Pay_Num&lt;&gt;"",Sched_Pay+Extra_Pay&lt;Beg_Bal),Beg_Bal-Princ,IF(Pay_Num&lt;&gt;"",0,""))</f>
        <v>0</v>
      </c>
      <c r="J235" s="33">
        <f>SUM($H$18:$H235)</f>
        <v>264024.10073253291</v>
      </c>
    </row>
    <row r="236" spans="1:10" x14ac:dyDescent="0.3">
      <c r="A236" s="36">
        <f>IF(Values_Entered,A235+1,"")</f>
        <v>219</v>
      </c>
      <c r="B236" s="35">
        <f>IF(Pay_Num&lt;&gt;"",DATE(YEAR(Loan_Start),MONTH(Loan_Start)+(Pay_Num)*12/Num_Pmt_Per_Year,DAY(Loan_Start)),"")</f>
        <v>52048</v>
      </c>
      <c r="C236" s="33">
        <f>IF(Pay_Num&lt;&gt;"",I235,"")</f>
        <v>0</v>
      </c>
      <c r="D236" s="33">
        <f>IF(Pay_Num&lt;&gt;"",Scheduled_Monthly_Payment,"")</f>
        <v>26333.835431927764</v>
      </c>
      <c r="E236" s="34">
        <f>IF(AND(Pay_Num&lt;&gt;"",Sched_Pay+Scheduled_Extra_Payments&lt;Beg_Bal),Scheduled_Extra_Payments,IF(AND(Pay_Num&lt;&gt;"",Beg_Bal-Sched_Pay&gt;0),Beg_Bal-Sched_Pay,IF(Pay_Num&lt;&gt;"",0,"")))</f>
        <v>0</v>
      </c>
      <c r="F236" s="33">
        <f>IF(AND(Pay_Num&lt;&gt;"",Sched_Pay+Extra_Pay&lt;Beg_Bal),Sched_Pay+Extra_Pay,IF(Pay_Num&lt;&gt;"",Beg_Bal,""))</f>
        <v>0</v>
      </c>
      <c r="G236" s="33">
        <f>IF(Pay_Num&lt;&gt;"",Total_Pay-Int,"")</f>
        <v>0</v>
      </c>
      <c r="H236" s="33">
        <f>IF(Pay_Num&lt;&gt;"",Beg_Bal*Interest_Rate/Num_Pmt_Per_Year,"")</f>
        <v>0</v>
      </c>
      <c r="I236" s="33">
        <f>IF(AND(Pay_Num&lt;&gt;"",Sched_Pay+Extra_Pay&lt;Beg_Bal),Beg_Bal-Princ,IF(Pay_Num&lt;&gt;"",0,""))</f>
        <v>0</v>
      </c>
      <c r="J236" s="33">
        <f>SUM($H$18:$H236)</f>
        <v>264024.10073253291</v>
      </c>
    </row>
    <row r="237" spans="1:10" x14ac:dyDescent="0.3">
      <c r="A237" s="36">
        <f>IF(Values_Entered,A236+1,"")</f>
        <v>220</v>
      </c>
      <c r="B237" s="35">
        <f>IF(Pay_Num&lt;&gt;"",DATE(YEAR(Loan_Start),MONTH(Loan_Start)+(Pay_Num)*12/Num_Pmt_Per_Year,DAY(Loan_Start)),"")</f>
        <v>52079</v>
      </c>
      <c r="C237" s="33">
        <f>IF(Pay_Num&lt;&gt;"",I236,"")</f>
        <v>0</v>
      </c>
      <c r="D237" s="33">
        <f>IF(Pay_Num&lt;&gt;"",Scheduled_Monthly_Payment,"")</f>
        <v>26333.835431927764</v>
      </c>
      <c r="E237" s="34">
        <f>IF(AND(Pay_Num&lt;&gt;"",Sched_Pay+Scheduled_Extra_Payments&lt;Beg_Bal),Scheduled_Extra_Payments,IF(AND(Pay_Num&lt;&gt;"",Beg_Bal-Sched_Pay&gt;0),Beg_Bal-Sched_Pay,IF(Pay_Num&lt;&gt;"",0,"")))</f>
        <v>0</v>
      </c>
      <c r="F237" s="33">
        <f>IF(AND(Pay_Num&lt;&gt;"",Sched_Pay+Extra_Pay&lt;Beg_Bal),Sched_Pay+Extra_Pay,IF(Pay_Num&lt;&gt;"",Beg_Bal,""))</f>
        <v>0</v>
      </c>
      <c r="G237" s="33">
        <f>IF(Pay_Num&lt;&gt;"",Total_Pay-Int,"")</f>
        <v>0</v>
      </c>
      <c r="H237" s="33">
        <f>IF(Pay_Num&lt;&gt;"",Beg_Bal*Interest_Rate/Num_Pmt_Per_Year,"")</f>
        <v>0</v>
      </c>
      <c r="I237" s="33">
        <f>IF(AND(Pay_Num&lt;&gt;"",Sched_Pay+Extra_Pay&lt;Beg_Bal),Beg_Bal-Princ,IF(Pay_Num&lt;&gt;"",0,""))</f>
        <v>0</v>
      </c>
      <c r="J237" s="33">
        <f>SUM($H$18:$H237)</f>
        <v>264024.10073253291</v>
      </c>
    </row>
    <row r="238" spans="1:10" x14ac:dyDescent="0.3">
      <c r="A238" s="36">
        <f>IF(Values_Entered,A237+1,"")</f>
        <v>221</v>
      </c>
      <c r="B238" s="35">
        <f>IF(Pay_Num&lt;&gt;"",DATE(YEAR(Loan_Start),MONTH(Loan_Start)+(Pay_Num)*12/Num_Pmt_Per_Year,DAY(Loan_Start)),"")</f>
        <v>52110</v>
      </c>
      <c r="C238" s="33">
        <f>IF(Pay_Num&lt;&gt;"",I237,"")</f>
        <v>0</v>
      </c>
      <c r="D238" s="33">
        <f>IF(Pay_Num&lt;&gt;"",Scheduled_Monthly_Payment,"")</f>
        <v>26333.835431927764</v>
      </c>
      <c r="E238" s="34">
        <f>IF(AND(Pay_Num&lt;&gt;"",Sched_Pay+Scheduled_Extra_Payments&lt;Beg_Bal),Scheduled_Extra_Payments,IF(AND(Pay_Num&lt;&gt;"",Beg_Bal-Sched_Pay&gt;0),Beg_Bal-Sched_Pay,IF(Pay_Num&lt;&gt;"",0,"")))</f>
        <v>0</v>
      </c>
      <c r="F238" s="33">
        <f>IF(AND(Pay_Num&lt;&gt;"",Sched_Pay+Extra_Pay&lt;Beg_Bal),Sched_Pay+Extra_Pay,IF(Pay_Num&lt;&gt;"",Beg_Bal,""))</f>
        <v>0</v>
      </c>
      <c r="G238" s="33">
        <f>IF(Pay_Num&lt;&gt;"",Total_Pay-Int,"")</f>
        <v>0</v>
      </c>
      <c r="H238" s="33">
        <f>IF(Pay_Num&lt;&gt;"",Beg_Bal*Interest_Rate/Num_Pmt_Per_Year,"")</f>
        <v>0</v>
      </c>
      <c r="I238" s="33">
        <f>IF(AND(Pay_Num&lt;&gt;"",Sched_Pay+Extra_Pay&lt;Beg_Bal),Beg_Bal-Princ,IF(Pay_Num&lt;&gt;"",0,""))</f>
        <v>0</v>
      </c>
      <c r="J238" s="33">
        <f>SUM($H$18:$H238)</f>
        <v>264024.10073253291</v>
      </c>
    </row>
    <row r="239" spans="1:10" x14ac:dyDescent="0.3">
      <c r="A239" s="36">
        <f>IF(Values_Entered,A238+1,"")</f>
        <v>222</v>
      </c>
      <c r="B239" s="35">
        <f>IF(Pay_Num&lt;&gt;"",DATE(YEAR(Loan_Start),MONTH(Loan_Start)+(Pay_Num)*12/Num_Pmt_Per_Year,DAY(Loan_Start)),"")</f>
        <v>52140</v>
      </c>
      <c r="C239" s="33">
        <f>IF(Pay_Num&lt;&gt;"",I238,"")</f>
        <v>0</v>
      </c>
      <c r="D239" s="33">
        <f>IF(Pay_Num&lt;&gt;"",Scheduled_Monthly_Payment,"")</f>
        <v>26333.835431927764</v>
      </c>
      <c r="E239" s="34">
        <f>IF(AND(Pay_Num&lt;&gt;"",Sched_Pay+Scheduled_Extra_Payments&lt;Beg_Bal),Scheduled_Extra_Payments,IF(AND(Pay_Num&lt;&gt;"",Beg_Bal-Sched_Pay&gt;0),Beg_Bal-Sched_Pay,IF(Pay_Num&lt;&gt;"",0,"")))</f>
        <v>0</v>
      </c>
      <c r="F239" s="33">
        <f>IF(AND(Pay_Num&lt;&gt;"",Sched_Pay+Extra_Pay&lt;Beg_Bal),Sched_Pay+Extra_Pay,IF(Pay_Num&lt;&gt;"",Beg_Bal,""))</f>
        <v>0</v>
      </c>
      <c r="G239" s="33">
        <f>IF(Pay_Num&lt;&gt;"",Total_Pay-Int,"")</f>
        <v>0</v>
      </c>
      <c r="H239" s="33">
        <f>IF(Pay_Num&lt;&gt;"",Beg_Bal*Interest_Rate/Num_Pmt_Per_Year,"")</f>
        <v>0</v>
      </c>
      <c r="I239" s="33">
        <f>IF(AND(Pay_Num&lt;&gt;"",Sched_Pay+Extra_Pay&lt;Beg_Bal),Beg_Bal-Princ,IF(Pay_Num&lt;&gt;"",0,""))</f>
        <v>0</v>
      </c>
      <c r="J239" s="33">
        <f>SUM($H$18:$H239)</f>
        <v>264024.10073253291</v>
      </c>
    </row>
    <row r="240" spans="1:10" x14ac:dyDescent="0.3">
      <c r="A240" s="36">
        <f>IF(Values_Entered,A239+1,"")</f>
        <v>223</v>
      </c>
      <c r="B240" s="35">
        <f>IF(Pay_Num&lt;&gt;"",DATE(YEAR(Loan_Start),MONTH(Loan_Start)+(Pay_Num)*12/Num_Pmt_Per_Year,DAY(Loan_Start)),"")</f>
        <v>52171</v>
      </c>
      <c r="C240" s="33">
        <f>IF(Pay_Num&lt;&gt;"",I239,"")</f>
        <v>0</v>
      </c>
      <c r="D240" s="33">
        <f>IF(Pay_Num&lt;&gt;"",Scheduled_Monthly_Payment,"")</f>
        <v>26333.835431927764</v>
      </c>
      <c r="E240" s="34">
        <f>IF(AND(Pay_Num&lt;&gt;"",Sched_Pay+Scheduled_Extra_Payments&lt;Beg_Bal),Scheduled_Extra_Payments,IF(AND(Pay_Num&lt;&gt;"",Beg_Bal-Sched_Pay&gt;0),Beg_Bal-Sched_Pay,IF(Pay_Num&lt;&gt;"",0,"")))</f>
        <v>0</v>
      </c>
      <c r="F240" s="33">
        <f>IF(AND(Pay_Num&lt;&gt;"",Sched_Pay+Extra_Pay&lt;Beg_Bal),Sched_Pay+Extra_Pay,IF(Pay_Num&lt;&gt;"",Beg_Bal,""))</f>
        <v>0</v>
      </c>
      <c r="G240" s="33">
        <f>IF(Pay_Num&lt;&gt;"",Total_Pay-Int,"")</f>
        <v>0</v>
      </c>
      <c r="H240" s="33">
        <f>IF(Pay_Num&lt;&gt;"",Beg_Bal*Interest_Rate/Num_Pmt_Per_Year,"")</f>
        <v>0</v>
      </c>
      <c r="I240" s="33">
        <f>IF(AND(Pay_Num&lt;&gt;"",Sched_Pay+Extra_Pay&lt;Beg_Bal),Beg_Bal-Princ,IF(Pay_Num&lt;&gt;"",0,""))</f>
        <v>0</v>
      </c>
      <c r="J240" s="33">
        <f>SUM($H$18:$H240)</f>
        <v>264024.10073253291</v>
      </c>
    </row>
    <row r="241" spans="1:10" x14ac:dyDescent="0.3">
      <c r="A241" s="36">
        <f>IF(Values_Entered,A240+1,"")</f>
        <v>224</v>
      </c>
      <c r="B241" s="35">
        <f>IF(Pay_Num&lt;&gt;"",DATE(YEAR(Loan_Start),MONTH(Loan_Start)+(Pay_Num)*12/Num_Pmt_Per_Year,DAY(Loan_Start)),"")</f>
        <v>52201</v>
      </c>
      <c r="C241" s="33">
        <f>IF(Pay_Num&lt;&gt;"",I240,"")</f>
        <v>0</v>
      </c>
      <c r="D241" s="33">
        <f>IF(Pay_Num&lt;&gt;"",Scheduled_Monthly_Payment,"")</f>
        <v>26333.835431927764</v>
      </c>
      <c r="E241" s="34">
        <f>IF(AND(Pay_Num&lt;&gt;"",Sched_Pay+Scheduled_Extra_Payments&lt;Beg_Bal),Scheduled_Extra_Payments,IF(AND(Pay_Num&lt;&gt;"",Beg_Bal-Sched_Pay&gt;0),Beg_Bal-Sched_Pay,IF(Pay_Num&lt;&gt;"",0,"")))</f>
        <v>0</v>
      </c>
      <c r="F241" s="33">
        <f>IF(AND(Pay_Num&lt;&gt;"",Sched_Pay+Extra_Pay&lt;Beg_Bal),Sched_Pay+Extra_Pay,IF(Pay_Num&lt;&gt;"",Beg_Bal,""))</f>
        <v>0</v>
      </c>
      <c r="G241" s="33">
        <f>IF(Pay_Num&lt;&gt;"",Total_Pay-Int,"")</f>
        <v>0</v>
      </c>
      <c r="H241" s="33">
        <f>IF(Pay_Num&lt;&gt;"",Beg_Bal*Interest_Rate/Num_Pmt_Per_Year,"")</f>
        <v>0</v>
      </c>
      <c r="I241" s="33">
        <f>IF(AND(Pay_Num&lt;&gt;"",Sched_Pay+Extra_Pay&lt;Beg_Bal),Beg_Bal-Princ,IF(Pay_Num&lt;&gt;"",0,""))</f>
        <v>0</v>
      </c>
      <c r="J241" s="33">
        <f>SUM($H$18:$H241)</f>
        <v>264024.10073253291</v>
      </c>
    </row>
    <row r="242" spans="1:10" x14ac:dyDescent="0.3">
      <c r="A242" s="36">
        <f>IF(Values_Entered,A241+1,"")</f>
        <v>225</v>
      </c>
      <c r="B242" s="35">
        <f>IF(Pay_Num&lt;&gt;"",DATE(YEAR(Loan_Start),MONTH(Loan_Start)+(Pay_Num)*12/Num_Pmt_Per_Year,DAY(Loan_Start)),"")</f>
        <v>52232</v>
      </c>
      <c r="C242" s="33">
        <f>IF(Pay_Num&lt;&gt;"",I241,"")</f>
        <v>0</v>
      </c>
      <c r="D242" s="33">
        <f>IF(Pay_Num&lt;&gt;"",Scheduled_Monthly_Payment,"")</f>
        <v>26333.835431927764</v>
      </c>
      <c r="E242" s="34">
        <f>IF(AND(Pay_Num&lt;&gt;"",Sched_Pay+Scheduled_Extra_Payments&lt;Beg_Bal),Scheduled_Extra_Payments,IF(AND(Pay_Num&lt;&gt;"",Beg_Bal-Sched_Pay&gt;0),Beg_Bal-Sched_Pay,IF(Pay_Num&lt;&gt;"",0,"")))</f>
        <v>0</v>
      </c>
      <c r="F242" s="33">
        <f>IF(AND(Pay_Num&lt;&gt;"",Sched_Pay+Extra_Pay&lt;Beg_Bal),Sched_Pay+Extra_Pay,IF(Pay_Num&lt;&gt;"",Beg_Bal,""))</f>
        <v>0</v>
      </c>
      <c r="G242" s="33">
        <f>IF(Pay_Num&lt;&gt;"",Total_Pay-Int,"")</f>
        <v>0</v>
      </c>
      <c r="H242" s="33">
        <f>IF(Pay_Num&lt;&gt;"",Beg_Bal*Interest_Rate/Num_Pmt_Per_Year,"")</f>
        <v>0</v>
      </c>
      <c r="I242" s="33">
        <f>IF(AND(Pay_Num&lt;&gt;"",Sched_Pay+Extra_Pay&lt;Beg_Bal),Beg_Bal-Princ,IF(Pay_Num&lt;&gt;"",0,""))</f>
        <v>0</v>
      </c>
      <c r="J242" s="33">
        <f>SUM($H$18:$H242)</f>
        <v>264024.10073253291</v>
      </c>
    </row>
    <row r="243" spans="1:10" x14ac:dyDescent="0.3">
      <c r="A243" s="36">
        <f>IF(Values_Entered,A242+1,"")</f>
        <v>226</v>
      </c>
      <c r="B243" s="35">
        <f>IF(Pay_Num&lt;&gt;"",DATE(YEAR(Loan_Start),MONTH(Loan_Start)+(Pay_Num)*12/Num_Pmt_Per_Year,DAY(Loan_Start)),"")</f>
        <v>52263</v>
      </c>
      <c r="C243" s="33">
        <f>IF(Pay_Num&lt;&gt;"",I242,"")</f>
        <v>0</v>
      </c>
      <c r="D243" s="33">
        <f>IF(Pay_Num&lt;&gt;"",Scheduled_Monthly_Payment,"")</f>
        <v>26333.835431927764</v>
      </c>
      <c r="E243" s="34">
        <f>IF(AND(Pay_Num&lt;&gt;"",Sched_Pay+Scheduled_Extra_Payments&lt;Beg_Bal),Scheduled_Extra_Payments,IF(AND(Pay_Num&lt;&gt;"",Beg_Bal-Sched_Pay&gt;0),Beg_Bal-Sched_Pay,IF(Pay_Num&lt;&gt;"",0,"")))</f>
        <v>0</v>
      </c>
      <c r="F243" s="33">
        <f>IF(AND(Pay_Num&lt;&gt;"",Sched_Pay+Extra_Pay&lt;Beg_Bal),Sched_Pay+Extra_Pay,IF(Pay_Num&lt;&gt;"",Beg_Bal,""))</f>
        <v>0</v>
      </c>
      <c r="G243" s="33">
        <f>IF(Pay_Num&lt;&gt;"",Total_Pay-Int,"")</f>
        <v>0</v>
      </c>
      <c r="H243" s="33">
        <f>IF(Pay_Num&lt;&gt;"",Beg_Bal*Interest_Rate/Num_Pmt_Per_Year,"")</f>
        <v>0</v>
      </c>
      <c r="I243" s="33">
        <f>IF(AND(Pay_Num&lt;&gt;"",Sched_Pay+Extra_Pay&lt;Beg_Bal),Beg_Bal-Princ,IF(Pay_Num&lt;&gt;"",0,""))</f>
        <v>0</v>
      </c>
      <c r="J243" s="33">
        <f>SUM($H$18:$H243)</f>
        <v>264024.10073253291</v>
      </c>
    </row>
    <row r="244" spans="1:10" x14ac:dyDescent="0.3">
      <c r="A244" s="36">
        <f>IF(Values_Entered,A243+1,"")</f>
        <v>227</v>
      </c>
      <c r="B244" s="35">
        <f>IF(Pay_Num&lt;&gt;"",DATE(YEAR(Loan_Start),MONTH(Loan_Start)+(Pay_Num)*12/Num_Pmt_Per_Year,DAY(Loan_Start)),"")</f>
        <v>52291</v>
      </c>
      <c r="C244" s="33">
        <f>IF(Pay_Num&lt;&gt;"",I243,"")</f>
        <v>0</v>
      </c>
      <c r="D244" s="33">
        <f>IF(Pay_Num&lt;&gt;"",Scheduled_Monthly_Payment,"")</f>
        <v>26333.835431927764</v>
      </c>
      <c r="E244" s="34">
        <f>IF(AND(Pay_Num&lt;&gt;"",Sched_Pay+Scheduled_Extra_Payments&lt;Beg_Bal),Scheduled_Extra_Payments,IF(AND(Pay_Num&lt;&gt;"",Beg_Bal-Sched_Pay&gt;0),Beg_Bal-Sched_Pay,IF(Pay_Num&lt;&gt;"",0,"")))</f>
        <v>0</v>
      </c>
      <c r="F244" s="33">
        <f>IF(AND(Pay_Num&lt;&gt;"",Sched_Pay+Extra_Pay&lt;Beg_Bal),Sched_Pay+Extra_Pay,IF(Pay_Num&lt;&gt;"",Beg_Bal,""))</f>
        <v>0</v>
      </c>
      <c r="G244" s="33">
        <f>IF(Pay_Num&lt;&gt;"",Total_Pay-Int,"")</f>
        <v>0</v>
      </c>
      <c r="H244" s="33">
        <f>IF(Pay_Num&lt;&gt;"",Beg_Bal*Interest_Rate/Num_Pmt_Per_Year,"")</f>
        <v>0</v>
      </c>
      <c r="I244" s="33">
        <f>IF(AND(Pay_Num&lt;&gt;"",Sched_Pay+Extra_Pay&lt;Beg_Bal),Beg_Bal-Princ,IF(Pay_Num&lt;&gt;"",0,""))</f>
        <v>0</v>
      </c>
      <c r="J244" s="33">
        <f>SUM($H$18:$H244)</f>
        <v>264024.10073253291</v>
      </c>
    </row>
    <row r="245" spans="1:10" x14ac:dyDescent="0.3">
      <c r="A245" s="36">
        <f>IF(Values_Entered,A244+1,"")</f>
        <v>228</v>
      </c>
      <c r="B245" s="35">
        <f>IF(Pay_Num&lt;&gt;"",DATE(YEAR(Loan_Start),MONTH(Loan_Start)+(Pay_Num)*12/Num_Pmt_Per_Year,DAY(Loan_Start)),"")</f>
        <v>52322</v>
      </c>
      <c r="C245" s="33">
        <f>IF(Pay_Num&lt;&gt;"",I244,"")</f>
        <v>0</v>
      </c>
      <c r="D245" s="33">
        <f>IF(Pay_Num&lt;&gt;"",Scheduled_Monthly_Payment,"")</f>
        <v>26333.835431927764</v>
      </c>
      <c r="E245" s="34">
        <f>IF(AND(Pay_Num&lt;&gt;"",Sched_Pay+Scheduled_Extra_Payments&lt;Beg_Bal),Scheduled_Extra_Payments,IF(AND(Pay_Num&lt;&gt;"",Beg_Bal-Sched_Pay&gt;0),Beg_Bal-Sched_Pay,IF(Pay_Num&lt;&gt;"",0,"")))</f>
        <v>0</v>
      </c>
      <c r="F245" s="33">
        <f>IF(AND(Pay_Num&lt;&gt;"",Sched_Pay+Extra_Pay&lt;Beg_Bal),Sched_Pay+Extra_Pay,IF(Pay_Num&lt;&gt;"",Beg_Bal,""))</f>
        <v>0</v>
      </c>
      <c r="G245" s="33">
        <f>IF(Pay_Num&lt;&gt;"",Total_Pay-Int,"")</f>
        <v>0</v>
      </c>
      <c r="H245" s="33">
        <f>IF(Pay_Num&lt;&gt;"",Beg_Bal*Interest_Rate/Num_Pmt_Per_Year,"")</f>
        <v>0</v>
      </c>
      <c r="I245" s="33">
        <f>IF(AND(Pay_Num&lt;&gt;"",Sched_Pay+Extra_Pay&lt;Beg_Bal),Beg_Bal-Princ,IF(Pay_Num&lt;&gt;"",0,""))</f>
        <v>0</v>
      </c>
      <c r="J245" s="33">
        <f>SUM($H$18:$H245)</f>
        <v>264024.10073253291</v>
      </c>
    </row>
    <row r="246" spans="1:10" x14ac:dyDescent="0.3">
      <c r="A246" s="36">
        <f>IF(Values_Entered,A245+1,"")</f>
        <v>229</v>
      </c>
      <c r="B246" s="35">
        <f>IF(Pay_Num&lt;&gt;"",DATE(YEAR(Loan_Start),MONTH(Loan_Start)+(Pay_Num)*12/Num_Pmt_Per_Year,DAY(Loan_Start)),"")</f>
        <v>52352</v>
      </c>
      <c r="C246" s="33">
        <f>IF(Pay_Num&lt;&gt;"",I245,"")</f>
        <v>0</v>
      </c>
      <c r="D246" s="33">
        <f>IF(Pay_Num&lt;&gt;"",Scheduled_Monthly_Payment,"")</f>
        <v>26333.835431927764</v>
      </c>
      <c r="E246" s="34">
        <f>IF(AND(Pay_Num&lt;&gt;"",Sched_Pay+Scheduled_Extra_Payments&lt;Beg_Bal),Scheduled_Extra_Payments,IF(AND(Pay_Num&lt;&gt;"",Beg_Bal-Sched_Pay&gt;0),Beg_Bal-Sched_Pay,IF(Pay_Num&lt;&gt;"",0,"")))</f>
        <v>0</v>
      </c>
      <c r="F246" s="33">
        <f>IF(AND(Pay_Num&lt;&gt;"",Sched_Pay+Extra_Pay&lt;Beg_Bal),Sched_Pay+Extra_Pay,IF(Pay_Num&lt;&gt;"",Beg_Bal,""))</f>
        <v>0</v>
      </c>
      <c r="G246" s="33">
        <f>IF(Pay_Num&lt;&gt;"",Total_Pay-Int,"")</f>
        <v>0</v>
      </c>
      <c r="H246" s="33">
        <f>IF(Pay_Num&lt;&gt;"",Beg_Bal*Interest_Rate/Num_Pmt_Per_Year,"")</f>
        <v>0</v>
      </c>
      <c r="I246" s="33">
        <f>IF(AND(Pay_Num&lt;&gt;"",Sched_Pay+Extra_Pay&lt;Beg_Bal),Beg_Bal-Princ,IF(Pay_Num&lt;&gt;"",0,""))</f>
        <v>0</v>
      </c>
      <c r="J246" s="33">
        <f>SUM($H$18:$H246)</f>
        <v>264024.10073253291</v>
      </c>
    </row>
    <row r="247" spans="1:10" x14ac:dyDescent="0.3">
      <c r="A247" s="36">
        <f>IF(Values_Entered,A246+1,"")</f>
        <v>230</v>
      </c>
      <c r="B247" s="35">
        <f>IF(Pay_Num&lt;&gt;"",DATE(YEAR(Loan_Start),MONTH(Loan_Start)+(Pay_Num)*12/Num_Pmt_Per_Year,DAY(Loan_Start)),"")</f>
        <v>52383</v>
      </c>
      <c r="C247" s="33">
        <f>IF(Pay_Num&lt;&gt;"",I246,"")</f>
        <v>0</v>
      </c>
      <c r="D247" s="33">
        <f>IF(Pay_Num&lt;&gt;"",Scheduled_Monthly_Payment,"")</f>
        <v>26333.835431927764</v>
      </c>
      <c r="E247" s="34">
        <f>IF(AND(Pay_Num&lt;&gt;"",Sched_Pay+Scheduled_Extra_Payments&lt;Beg_Bal),Scheduled_Extra_Payments,IF(AND(Pay_Num&lt;&gt;"",Beg_Bal-Sched_Pay&gt;0),Beg_Bal-Sched_Pay,IF(Pay_Num&lt;&gt;"",0,"")))</f>
        <v>0</v>
      </c>
      <c r="F247" s="33">
        <f>IF(AND(Pay_Num&lt;&gt;"",Sched_Pay+Extra_Pay&lt;Beg_Bal),Sched_Pay+Extra_Pay,IF(Pay_Num&lt;&gt;"",Beg_Bal,""))</f>
        <v>0</v>
      </c>
      <c r="G247" s="33">
        <f>IF(Pay_Num&lt;&gt;"",Total_Pay-Int,"")</f>
        <v>0</v>
      </c>
      <c r="H247" s="33">
        <f>IF(Pay_Num&lt;&gt;"",Beg_Bal*Interest_Rate/Num_Pmt_Per_Year,"")</f>
        <v>0</v>
      </c>
      <c r="I247" s="33">
        <f>IF(AND(Pay_Num&lt;&gt;"",Sched_Pay+Extra_Pay&lt;Beg_Bal),Beg_Bal-Princ,IF(Pay_Num&lt;&gt;"",0,""))</f>
        <v>0</v>
      </c>
      <c r="J247" s="33">
        <f>SUM($H$18:$H247)</f>
        <v>264024.10073253291</v>
      </c>
    </row>
    <row r="248" spans="1:10" x14ac:dyDescent="0.3">
      <c r="A248" s="36">
        <f>IF(Values_Entered,A247+1,"")</f>
        <v>231</v>
      </c>
      <c r="B248" s="35">
        <f>IF(Pay_Num&lt;&gt;"",DATE(YEAR(Loan_Start),MONTH(Loan_Start)+(Pay_Num)*12/Num_Pmt_Per_Year,DAY(Loan_Start)),"")</f>
        <v>52413</v>
      </c>
      <c r="C248" s="33">
        <f>IF(Pay_Num&lt;&gt;"",I247,"")</f>
        <v>0</v>
      </c>
      <c r="D248" s="33">
        <f>IF(Pay_Num&lt;&gt;"",Scheduled_Monthly_Payment,"")</f>
        <v>26333.835431927764</v>
      </c>
      <c r="E248" s="34">
        <f>IF(AND(Pay_Num&lt;&gt;"",Sched_Pay+Scheduled_Extra_Payments&lt;Beg_Bal),Scheduled_Extra_Payments,IF(AND(Pay_Num&lt;&gt;"",Beg_Bal-Sched_Pay&gt;0),Beg_Bal-Sched_Pay,IF(Pay_Num&lt;&gt;"",0,"")))</f>
        <v>0</v>
      </c>
      <c r="F248" s="33">
        <f>IF(AND(Pay_Num&lt;&gt;"",Sched_Pay+Extra_Pay&lt;Beg_Bal),Sched_Pay+Extra_Pay,IF(Pay_Num&lt;&gt;"",Beg_Bal,""))</f>
        <v>0</v>
      </c>
      <c r="G248" s="33">
        <f>IF(Pay_Num&lt;&gt;"",Total_Pay-Int,"")</f>
        <v>0</v>
      </c>
      <c r="H248" s="33">
        <f>IF(Pay_Num&lt;&gt;"",Beg_Bal*Interest_Rate/Num_Pmt_Per_Year,"")</f>
        <v>0</v>
      </c>
      <c r="I248" s="33">
        <f>IF(AND(Pay_Num&lt;&gt;"",Sched_Pay+Extra_Pay&lt;Beg_Bal),Beg_Bal-Princ,IF(Pay_Num&lt;&gt;"",0,""))</f>
        <v>0</v>
      </c>
      <c r="J248" s="33">
        <f>SUM($H$18:$H248)</f>
        <v>264024.10073253291</v>
      </c>
    </row>
    <row r="249" spans="1:10" x14ac:dyDescent="0.3">
      <c r="A249" s="36">
        <f>IF(Values_Entered,A248+1,"")</f>
        <v>232</v>
      </c>
      <c r="B249" s="35">
        <f>IF(Pay_Num&lt;&gt;"",DATE(YEAR(Loan_Start),MONTH(Loan_Start)+(Pay_Num)*12/Num_Pmt_Per_Year,DAY(Loan_Start)),"")</f>
        <v>52444</v>
      </c>
      <c r="C249" s="33">
        <f>IF(Pay_Num&lt;&gt;"",I248,"")</f>
        <v>0</v>
      </c>
      <c r="D249" s="33">
        <f>IF(Pay_Num&lt;&gt;"",Scheduled_Monthly_Payment,"")</f>
        <v>26333.835431927764</v>
      </c>
      <c r="E249" s="34">
        <f>IF(AND(Pay_Num&lt;&gt;"",Sched_Pay+Scheduled_Extra_Payments&lt;Beg_Bal),Scheduled_Extra_Payments,IF(AND(Pay_Num&lt;&gt;"",Beg_Bal-Sched_Pay&gt;0),Beg_Bal-Sched_Pay,IF(Pay_Num&lt;&gt;"",0,"")))</f>
        <v>0</v>
      </c>
      <c r="F249" s="33">
        <f>IF(AND(Pay_Num&lt;&gt;"",Sched_Pay+Extra_Pay&lt;Beg_Bal),Sched_Pay+Extra_Pay,IF(Pay_Num&lt;&gt;"",Beg_Bal,""))</f>
        <v>0</v>
      </c>
      <c r="G249" s="33">
        <f>IF(Pay_Num&lt;&gt;"",Total_Pay-Int,"")</f>
        <v>0</v>
      </c>
      <c r="H249" s="33">
        <f>IF(Pay_Num&lt;&gt;"",Beg_Bal*Interest_Rate/Num_Pmt_Per_Year,"")</f>
        <v>0</v>
      </c>
      <c r="I249" s="33">
        <f>IF(AND(Pay_Num&lt;&gt;"",Sched_Pay+Extra_Pay&lt;Beg_Bal),Beg_Bal-Princ,IF(Pay_Num&lt;&gt;"",0,""))</f>
        <v>0</v>
      </c>
      <c r="J249" s="33">
        <f>SUM($H$18:$H249)</f>
        <v>264024.10073253291</v>
      </c>
    </row>
    <row r="250" spans="1:10" x14ac:dyDescent="0.3">
      <c r="A250" s="36">
        <f>IF(Values_Entered,A249+1,"")</f>
        <v>233</v>
      </c>
      <c r="B250" s="35">
        <f>IF(Pay_Num&lt;&gt;"",DATE(YEAR(Loan_Start),MONTH(Loan_Start)+(Pay_Num)*12/Num_Pmt_Per_Year,DAY(Loan_Start)),"")</f>
        <v>52475</v>
      </c>
      <c r="C250" s="33">
        <f>IF(Pay_Num&lt;&gt;"",I249,"")</f>
        <v>0</v>
      </c>
      <c r="D250" s="33">
        <f>IF(Pay_Num&lt;&gt;"",Scheduled_Monthly_Payment,"")</f>
        <v>26333.835431927764</v>
      </c>
      <c r="E250" s="34">
        <f>IF(AND(Pay_Num&lt;&gt;"",Sched_Pay+Scheduled_Extra_Payments&lt;Beg_Bal),Scheduled_Extra_Payments,IF(AND(Pay_Num&lt;&gt;"",Beg_Bal-Sched_Pay&gt;0),Beg_Bal-Sched_Pay,IF(Pay_Num&lt;&gt;"",0,"")))</f>
        <v>0</v>
      </c>
      <c r="F250" s="33">
        <f>IF(AND(Pay_Num&lt;&gt;"",Sched_Pay+Extra_Pay&lt;Beg_Bal),Sched_Pay+Extra_Pay,IF(Pay_Num&lt;&gt;"",Beg_Bal,""))</f>
        <v>0</v>
      </c>
      <c r="G250" s="33">
        <f>IF(Pay_Num&lt;&gt;"",Total_Pay-Int,"")</f>
        <v>0</v>
      </c>
      <c r="H250" s="33">
        <f>IF(Pay_Num&lt;&gt;"",Beg_Bal*Interest_Rate/Num_Pmt_Per_Year,"")</f>
        <v>0</v>
      </c>
      <c r="I250" s="33">
        <f>IF(AND(Pay_Num&lt;&gt;"",Sched_Pay+Extra_Pay&lt;Beg_Bal),Beg_Bal-Princ,IF(Pay_Num&lt;&gt;"",0,""))</f>
        <v>0</v>
      </c>
      <c r="J250" s="33">
        <f>SUM($H$18:$H250)</f>
        <v>264024.10073253291</v>
      </c>
    </row>
    <row r="251" spans="1:10" x14ac:dyDescent="0.3">
      <c r="A251" s="36">
        <f>IF(Values_Entered,A250+1,"")</f>
        <v>234</v>
      </c>
      <c r="B251" s="35">
        <f>IF(Pay_Num&lt;&gt;"",DATE(YEAR(Loan_Start),MONTH(Loan_Start)+(Pay_Num)*12/Num_Pmt_Per_Year,DAY(Loan_Start)),"")</f>
        <v>52505</v>
      </c>
      <c r="C251" s="33">
        <f>IF(Pay_Num&lt;&gt;"",I250,"")</f>
        <v>0</v>
      </c>
      <c r="D251" s="33">
        <f>IF(Pay_Num&lt;&gt;"",Scheduled_Monthly_Payment,"")</f>
        <v>26333.835431927764</v>
      </c>
      <c r="E251" s="34">
        <f>IF(AND(Pay_Num&lt;&gt;"",Sched_Pay+Scheduled_Extra_Payments&lt;Beg_Bal),Scheduled_Extra_Payments,IF(AND(Pay_Num&lt;&gt;"",Beg_Bal-Sched_Pay&gt;0),Beg_Bal-Sched_Pay,IF(Pay_Num&lt;&gt;"",0,"")))</f>
        <v>0</v>
      </c>
      <c r="F251" s="33">
        <f>IF(AND(Pay_Num&lt;&gt;"",Sched_Pay+Extra_Pay&lt;Beg_Bal),Sched_Pay+Extra_Pay,IF(Pay_Num&lt;&gt;"",Beg_Bal,""))</f>
        <v>0</v>
      </c>
      <c r="G251" s="33">
        <f>IF(Pay_Num&lt;&gt;"",Total_Pay-Int,"")</f>
        <v>0</v>
      </c>
      <c r="H251" s="33">
        <f>IF(Pay_Num&lt;&gt;"",Beg_Bal*Interest_Rate/Num_Pmt_Per_Year,"")</f>
        <v>0</v>
      </c>
      <c r="I251" s="33">
        <f>IF(AND(Pay_Num&lt;&gt;"",Sched_Pay+Extra_Pay&lt;Beg_Bal),Beg_Bal-Princ,IF(Pay_Num&lt;&gt;"",0,""))</f>
        <v>0</v>
      </c>
      <c r="J251" s="33">
        <f>SUM($H$18:$H251)</f>
        <v>264024.10073253291</v>
      </c>
    </row>
    <row r="252" spans="1:10" x14ac:dyDescent="0.3">
      <c r="A252" s="36">
        <f>IF(Values_Entered,A251+1,"")</f>
        <v>235</v>
      </c>
      <c r="B252" s="35">
        <f>IF(Pay_Num&lt;&gt;"",DATE(YEAR(Loan_Start),MONTH(Loan_Start)+(Pay_Num)*12/Num_Pmt_Per_Year,DAY(Loan_Start)),"")</f>
        <v>52536</v>
      </c>
      <c r="C252" s="33">
        <f>IF(Pay_Num&lt;&gt;"",I251,"")</f>
        <v>0</v>
      </c>
      <c r="D252" s="33">
        <f>IF(Pay_Num&lt;&gt;"",Scheduled_Monthly_Payment,"")</f>
        <v>26333.835431927764</v>
      </c>
      <c r="E252" s="34">
        <f>IF(AND(Pay_Num&lt;&gt;"",Sched_Pay+Scheduled_Extra_Payments&lt;Beg_Bal),Scheduled_Extra_Payments,IF(AND(Pay_Num&lt;&gt;"",Beg_Bal-Sched_Pay&gt;0),Beg_Bal-Sched_Pay,IF(Pay_Num&lt;&gt;"",0,"")))</f>
        <v>0</v>
      </c>
      <c r="F252" s="33">
        <f>IF(AND(Pay_Num&lt;&gt;"",Sched_Pay+Extra_Pay&lt;Beg_Bal),Sched_Pay+Extra_Pay,IF(Pay_Num&lt;&gt;"",Beg_Bal,""))</f>
        <v>0</v>
      </c>
      <c r="G252" s="33">
        <f>IF(Pay_Num&lt;&gt;"",Total_Pay-Int,"")</f>
        <v>0</v>
      </c>
      <c r="H252" s="33">
        <f>IF(Pay_Num&lt;&gt;"",Beg_Bal*Interest_Rate/Num_Pmt_Per_Year,"")</f>
        <v>0</v>
      </c>
      <c r="I252" s="33">
        <f>IF(AND(Pay_Num&lt;&gt;"",Sched_Pay+Extra_Pay&lt;Beg_Bal),Beg_Bal-Princ,IF(Pay_Num&lt;&gt;"",0,""))</f>
        <v>0</v>
      </c>
      <c r="J252" s="33">
        <f>SUM($H$18:$H252)</f>
        <v>264024.10073253291</v>
      </c>
    </row>
    <row r="253" spans="1:10" x14ac:dyDescent="0.3">
      <c r="A253" s="36">
        <f>IF(Values_Entered,A252+1,"")</f>
        <v>236</v>
      </c>
      <c r="B253" s="35">
        <f>IF(Pay_Num&lt;&gt;"",DATE(YEAR(Loan_Start),MONTH(Loan_Start)+(Pay_Num)*12/Num_Pmt_Per_Year,DAY(Loan_Start)),"")</f>
        <v>52566</v>
      </c>
      <c r="C253" s="33">
        <f>IF(Pay_Num&lt;&gt;"",I252,"")</f>
        <v>0</v>
      </c>
      <c r="D253" s="33">
        <f>IF(Pay_Num&lt;&gt;"",Scheduled_Monthly_Payment,"")</f>
        <v>26333.835431927764</v>
      </c>
      <c r="E253" s="34">
        <f>IF(AND(Pay_Num&lt;&gt;"",Sched_Pay+Scheduled_Extra_Payments&lt;Beg_Bal),Scheduled_Extra_Payments,IF(AND(Pay_Num&lt;&gt;"",Beg_Bal-Sched_Pay&gt;0),Beg_Bal-Sched_Pay,IF(Pay_Num&lt;&gt;"",0,"")))</f>
        <v>0</v>
      </c>
      <c r="F253" s="33">
        <f>IF(AND(Pay_Num&lt;&gt;"",Sched_Pay+Extra_Pay&lt;Beg_Bal),Sched_Pay+Extra_Pay,IF(Pay_Num&lt;&gt;"",Beg_Bal,""))</f>
        <v>0</v>
      </c>
      <c r="G253" s="33">
        <f>IF(Pay_Num&lt;&gt;"",Total_Pay-Int,"")</f>
        <v>0</v>
      </c>
      <c r="H253" s="33">
        <f>IF(Pay_Num&lt;&gt;"",Beg_Bal*Interest_Rate/Num_Pmt_Per_Year,"")</f>
        <v>0</v>
      </c>
      <c r="I253" s="33">
        <f>IF(AND(Pay_Num&lt;&gt;"",Sched_Pay+Extra_Pay&lt;Beg_Bal),Beg_Bal-Princ,IF(Pay_Num&lt;&gt;"",0,""))</f>
        <v>0</v>
      </c>
      <c r="J253" s="33">
        <f>SUM($H$18:$H253)</f>
        <v>264024.10073253291</v>
      </c>
    </row>
    <row r="254" spans="1:10" x14ac:dyDescent="0.3">
      <c r="A254" s="36">
        <f>IF(Values_Entered,A253+1,"")</f>
        <v>237</v>
      </c>
      <c r="B254" s="35">
        <f>IF(Pay_Num&lt;&gt;"",DATE(YEAR(Loan_Start),MONTH(Loan_Start)+(Pay_Num)*12/Num_Pmt_Per_Year,DAY(Loan_Start)),"")</f>
        <v>52597</v>
      </c>
      <c r="C254" s="33">
        <f>IF(Pay_Num&lt;&gt;"",I253,"")</f>
        <v>0</v>
      </c>
      <c r="D254" s="33">
        <f>IF(Pay_Num&lt;&gt;"",Scheduled_Monthly_Payment,"")</f>
        <v>26333.835431927764</v>
      </c>
      <c r="E254" s="34">
        <f>IF(AND(Pay_Num&lt;&gt;"",Sched_Pay+Scheduled_Extra_Payments&lt;Beg_Bal),Scheduled_Extra_Payments,IF(AND(Pay_Num&lt;&gt;"",Beg_Bal-Sched_Pay&gt;0),Beg_Bal-Sched_Pay,IF(Pay_Num&lt;&gt;"",0,"")))</f>
        <v>0</v>
      </c>
      <c r="F254" s="33">
        <f>IF(AND(Pay_Num&lt;&gt;"",Sched_Pay+Extra_Pay&lt;Beg_Bal),Sched_Pay+Extra_Pay,IF(Pay_Num&lt;&gt;"",Beg_Bal,""))</f>
        <v>0</v>
      </c>
      <c r="G254" s="33">
        <f>IF(Pay_Num&lt;&gt;"",Total_Pay-Int,"")</f>
        <v>0</v>
      </c>
      <c r="H254" s="33">
        <f>IF(Pay_Num&lt;&gt;"",Beg_Bal*Interest_Rate/Num_Pmt_Per_Year,"")</f>
        <v>0</v>
      </c>
      <c r="I254" s="33">
        <f>IF(AND(Pay_Num&lt;&gt;"",Sched_Pay+Extra_Pay&lt;Beg_Bal),Beg_Bal-Princ,IF(Pay_Num&lt;&gt;"",0,""))</f>
        <v>0</v>
      </c>
      <c r="J254" s="33">
        <f>SUM($H$18:$H254)</f>
        <v>264024.10073253291</v>
      </c>
    </row>
    <row r="255" spans="1:10" x14ac:dyDescent="0.3">
      <c r="A255" s="36">
        <f>IF(Values_Entered,A254+1,"")</f>
        <v>238</v>
      </c>
      <c r="B255" s="35">
        <f>IF(Pay_Num&lt;&gt;"",DATE(YEAR(Loan_Start),MONTH(Loan_Start)+(Pay_Num)*12/Num_Pmt_Per_Year,DAY(Loan_Start)),"")</f>
        <v>52628</v>
      </c>
      <c r="C255" s="33">
        <f>IF(Pay_Num&lt;&gt;"",I254,"")</f>
        <v>0</v>
      </c>
      <c r="D255" s="33">
        <f>IF(Pay_Num&lt;&gt;"",Scheduled_Monthly_Payment,"")</f>
        <v>26333.835431927764</v>
      </c>
      <c r="E255" s="34">
        <f>IF(AND(Pay_Num&lt;&gt;"",Sched_Pay+Scheduled_Extra_Payments&lt;Beg_Bal),Scheduled_Extra_Payments,IF(AND(Pay_Num&lt;&gt;"",Beg_Bal-Sched_Pay&gt;0),Beg_Bal-Sched_Pay,IF(Pay_Num&lt;&gt;"",0,"")))</f>
        <v>0</v>
      </c>
      <c r="F255" s="33">
        <f>IF(AND(Pay_Num&lt;&gt;"",Sched_Pay+Extra_Pay&lt;Beg_Bal),Sched_Pay+Extra_Pay,IF(Pay_Num&lt;&gt;"",Beg_Bal,""))</f>
        <v>0</v>
      </c>
      <c r="G255" s="33">
        <f>IF(Pay_Num&lt;&gt;"",Total_Pay-Int,"")</f>
        <v>0</v>
      </c>
      <c r="H255" s="33">
        <f>IF(Pay_Num&lt;&gt;"",Beg_Bal*Interest_Rate/Num_Pmt_Per_Year,"")</f>
        <v>0</v>
      </c>
      <c r="I255" s="33">
        <f>IF(AND(Pay_Num&lt;&gt;"",Sched_Pay+Extra_Pay&lt;Beg_Bal),Beg_Bal-Princ,IF(Pay_Num&lt;&gt;"",0,""))</f>
        <v>0</v>
      </c>
      <c r="J255" s="33">
        <f>SUM($H$18:$H255)</f>
        <v>264024.10073253291</v>
      </c>
    </row>
    <row r="256" spans="1:10" x14ac:dyDescent="0.3">
      <c r="A256" s="36">
        <f>IF(Values_Entered,A255+1,"")</f>
        <v>239</v>
      </c>
      <c r="B256" s="35">
        <f>IF(Pay_Num&lt;&gt;"",DATE(YEAR(Loan_Start),MONTH(Loan_Start)+(Pay_Num)*12/Num_Pmt_Per_Year,DAY(Loan_Start)),"")</f>
        <v>52657</v>
      </c>
      <c r="C256" s="33">
        <f>IF(Pay_Num&lt;&gt;"",I255,"")</f>
        <v>0</v>
      </c>
      <c r="D256" s="33">
        <f>IF(Pay_Num&lt;&gt;"",Scheduled_Monthly_Payment,"")</f>
        <v>26333.835431927764</v>
      </c>
      <c r="E256" s="34">
        <f>IF(AND(Pay_Num&lt;&gt;"",Sched_Pay+Scheduled_Extra_Payments&lt;Beg_Bal),Scheduled_Extra_Payments,IF(AND(Pay_Num&lt;&gt;"",Beg_Bal-Sched_Pay&gt;0),Beg_Bal-Sched_Pay,IF(Pay_Num&lt;&gt;"",0,"")))</f>
        <v>0</v>
      </c>
      <c r="F256" s="33">
        <f>IF(AND(Pay_Num&lt;&gt;"",Sched_Pay+Extra_Pay&lt;Beg_Bal),Sched_Pay+Extra_Pay,IF(Pay_Num&lt;&gt;"",Beg_Bal,""))</f>
        <v>0</v>
      </c>
      <c r="G256" s="33">
        <f>IF(Pay_Num&lt;&gt;"",Total_Pay-Int,"")</f>
        <v>0</v>
      </c>
      <c r="H256" s="33">
        <f>IF(Pay_Num&lt;&gt;"",Beg_Bal*Interest_Rate/Num_Pmt_Per_Year,"")</f>
        <v>0</v>
      </c>
      <c r="I256" s="33">
        <f>IF(AND(Pay_Num&lt;&gt;"",Sched_Pay+Extra_Pay&lt;Beg_Bal),Beg_Bal-Princ,IF(Pay_Num&lt;&gt;"",0,""))</f>
        <v>0</v>
      </c>
      <c r="J256" s="33">
        <f>SUM($H$18:$H256)</f>
        <v>264024.10073253291</v>
      </c>
    </row>
    <row r="257" spans="1:10" x14ac:dyDescent="0.3">
      <c r="A257" s="36">
        <f>IF(Values_Entered,A256+1,"")</f>
        <v>240</v>
      </c>
      <c r="B257" s="35">
        <f>IF(Pay_Num&lt;&gt;"",DATE(YEAR(Loan_Start),MONTH(Loan_Start)+(Pay_Num)*12/Num_Pmt_Per_Year,DAY(Loan_Start)),"")</f>
        <v>52688</v>
      </c>
      <c r="C257" s="33">
        <f>IF(Pay_Num&lt;&gt;"",I256,"")</f>
        <v>0</v>
      </c>
      <c r="D257" s="33">
        <f>IF(Pay_Num&lt;&gt;"",Scheduled_Monthly_Payment,"")</f>
        <v>26333.835431927764</v>
      </c>
      <c r="E257" s="34">
        <f>IF(AND(Pay_Num&lt;&gt;"",Sched_Pay+Scheduled_Extra_Payments&lt;Beg_Bal),Scheduled_Extra_Payments,IF(AND(Pay_Num&lt;&gt;"",Beg_Bal-Sched_Pay&gt;0),Beg_Bal-Sched_Pay,IF(Pay_Num&lt;&gt;"",0,"")))</f>
        <v>0</v>
      </c>
      <c r="F257" s="33">
        <f>IF(AND(Pay_Num&lt;&gt;"",Sched_Pay+Extra_Pay&lt;Beg_Bal),Sched_Pay+Extra_Pay,IF(Pay_Num&lt;&gt;"",Beg_Bal,""))</f>
        <v>0</v>
      </c>
      <c r="G257" s="33">
        <f>IF(Pay_Num&lt;&gt;"",Total_Pay-Int,"")</f>
        <v>0</v>
      </c>
      <c r="H257" s="33">
        <f>IF(Pay_Num&lt;&gt;"",Beg_Bal*Interest_Rate/Num_Pmt_Per_Year,"")</f>
        <v>0</v>
      </c>
      <c r="I257" s="33">
        <f>IF(AND(Pay_Num&lt;&gt;"",Sched_Pay+Extra_Pay&lt;Beg_Bal),Beg_Bal-Princ,IF(Pay_Num&lt;&gt;"",0,""))</f>
        <v>0</v>
      </c>
      <c r="J257" s="33">
        <f>SUM($H$18:$H257)</f>
        <v>264024.10073253291</v>
      </c>
    </row>
    <row r="258" spans="1:10" x14ac:dyDescent="0.3">
      <c r="A258" s="36">
        <f>IF(Values_Entered,A257+1,"")</f>
        <v>241</v>
      </c>
      <c r="B258" s="35">
        <f>IF(Pay_Num&lt;&gt;"",DATE(YEAR(Loan_Start),MONTH(Loan_Start)+(Pay_Num)*12/Num_Pmt_Per_Year,DAY(Loan_Start)),"")</f>
        <v>52718</v>
      </c>
      <c r="C258" s="33">
        <f>IF(Pay_Num&lt;&gt;"",I257,"")</f>
        <v>0</v>
      </c>
      <c r="D258" s="33">
        <f>IF(Pay_Num&lt;&gt;"",Scheduled_Monthly_Payment,"")</f>
        <v>26333.835431927764</v>
      </c>
      <c r="E258" s="34">
        <f>IF(AND(Pay_Num&lt;&gt;"",Sched_Pay+Scheduled_Extra_Payments&lt;Beg_Bal),Scheduled_Extra_Payments,IF(AND(Pay_Num&lt;&gt;"",Beg_Bal-Sched_Pay&gt;0),Beg_Bal-Sched_Pay,IF(Pay_Num&lt;&gt;"",0,"")))</f>
        <v>0</v>
      </c>
      <c r="F258" s="33">
        <f>IF(AND(Pay_Num&lt;&gt;"",Sched_Pay+Extra_Pay&lt;Beg_Bal),Sched_Pay+Extra_Pay,IF(Pay_Num&lt;&gt;"",Beg_Bal,""))</f>
        <v>0</v>
      </c>
      <c r="G258" s="33">
        <f>IF(Pay_Num&lt;&gt;"",Total_Pay-Int,"")</f>
        <v>0</v>
      </c>
      <c r="H258" s="33">
        <f>IF(Pay_Num&lt;&gt;"",Beg_Bal*Interest_Rate/Num_Pmt_Per_Year,"")</f>
        <v>0</v>
      </c>
      <c r="I258" s="33">
        <f>IF(AND(Pay_Num&lt;&gt;"",Sched_Pay+Extra_Pay&lt;Beg_Bal),Beg_Bal-Princ,IF(Pay_Num&lt;&gt;"",0,""))</f>
        <v>0</v>
      </c>
      <c r="J258" s="33">
        <f>SUM($H$18:$H258)</f>
        <v>264024.10073253291</v>
      </c>
    </row>
    <row r="259" spans="1:10" x14ac:dyDescent="0.3">
      <c r="A259" s="36">
        <f>IF(Values_Entered,A258+1,"")</f>
        <v>242</v>
      </c>
      <c r="B259" s="35">
        <f>IF(Pay_Num&lt;&gt;"",DATE(YEAR(Loan_Start),MONTH(Loan_Start)+(Pay_Num)*12/Num_Pmt_Per_Year,DAY(Loan_Start)),"")</f>
        <v>52749</v>
      </c>
      <c r="C259" s="33">
        <f>IF(Pay_Num&lt;&gt;"",I258,"")</f>
        <v>0</v>
      </c>
      <c r="D259" s="33">
        <f>IF(Pay_Num&lt;&gt;"",Scheduled_Monthly_Payment,"")</f>
        <v>26333.835431927764</v>
      </c>
      <c r="E259" s="34">
        <f>IF(AND(Pay_Num&lt;&gt;"",Sched_Pay+Scheduled_Extra_Payments&lt;Beg_Bal),Scheduled_Extra_Payments,IF(AND(Pay_Num&lt;&gt;"",Beg_Bal-Sched_Pay&gt;0),Beg_Bal-Sched_Pay,IF(Pay_Num&lt;&gt;"",0,"")))</f>
        <v>0</v>
      </c>
      <c r="F259" s="33">
        <f>IF(AND(Pay_Num&lt;&gt;"",Sched_Pay+Extra_Pay&lt;Beg_Bal),Sched_Pay+Extra_Pay,IF(Pay_Num&lt;&gt;"",Beg_Bal,""))</f>
        <v>0</v>
      </c>
      <c r="G259" s="33">
        <f>IF(Pay_Num&lt;&gt;"",Total_Pay-Int,"")</f>
        <v>0</v>
      </c>
      <c r="H259" s="33">
        <f>IF(Pay_Num&lt;&gt;"",Beg_Bal*Interest_Rate/Num_Pmt_Per_Year,"")</f>
        <v>0</v>
      </c>
      <c r="I259" s="33">
        <f>IF(AND(Pay_Num&lt;&gt;"",Sched_Pay+Extra_Pay&lt;Beg_Bal),Beg_Bal-Princ,IF(Pay_Num&lt;&gt;"",0,""))</f>
        <v>0</v>
      </c>
      <c r="J259" s="33">
        <f>SUM($H$18:$H259)</f>
        <v>264024.10073253291</v>
      </c>
    </row>
    <row r="260" spans="1:10" x14ac:dyDescent="0.3">
      <c r="A260" s="36">
        <f>IF(Values_Entered,A259+1,"")</f>
        <v>243</v>
      </c>
      <c r="B260" s="35">
        <f>IF(Pay_Num&lt;&gt;"",DATE(YEAR(Loan_Start),MONTH(Loan_Start)+(Pay_Num)*12/Num_Pmt_Per_Year,DAY(Loan_Start)),"")</f>
        <v>52779</v>
      </c>
      <c r="C260" s="33">
        <f>IF(Pay_Num&lt;&gt;"",I259,"")</f>
        <v>0</v>
      </c>
      <c r="D260" s="33">
        <f>IF(Pay_Num&lt;&gt;"",Scheduled_Monthly_Payment,"")</f>
        <v>26333.835431927764</v>
      </c>
      <c r="E260" s="34">
        <f>IF(AND(Pay_Num&lt;&gt;"",Sched_Pay+Scheduled_Extra_Payments&lt;Beg_Bal),Scheduled_Extra_Payments,IF(AND(Pay_Num&lt;&gt;"",Beg_Bal-Sched_Pay&gt;0),Beg_Bal-Sched_Pay,IF(Pay_Num&lt;&gt;"",0,"")))</f>
        <v>0</v>
      </c>
      <c r="F260" s="33">
        <f>IF(AND(Pay_Num&lt;&gt;"",Sched_Pay+Extra_Pay&lt;Beg_Bal),Sched_Pay+Extra_Pay,IF(Pay_Num&lt;&gt;"",Beg_Bal,""))</f>
        <v>0</v>
      </c>
      <c r="G260" s="33">
        <f>IF(Pay_Num&lt;&gt;"",Total_Pay-Int,"")</f>
        <v>0</v>
      </c>
      <c r="H260" s="33">
        <f>IF(Pay_Num&lt;&gt;"",Beg_Bal*Interest_Rate/Num_Pmt_Per_Year,"")</f>
        <v>0</v>
      </c>
      <c r="I260" s="33">
        <f>IF(AND(Pay_Num&lt;&gt;"",Sched_Pay+Extra_Pay&lt;Beg_Bal),Beg_Bal-Princ,IF(Pay_Num&lt;&gt;"",0,""))</f>
        <v>0</v>
      </c>
      <c r="J260" s="33">
        <f>SUM($H$18:$H260)</f>
        <v>264024.10073253291</v>
      </c>
    </row>
    <row r="261" spans="1:10" x14ac:dyDescent="0.3">
      <c r="A261" s="36">
        <f>IF(Values_Entered,A260+1,"")</f>
        <v>244</v>
      </c>
      <c r="B261" s="35">
        <f>IF(Pay_Num&lt;&gt;"",DATE(YEAR(Loan_Start),MONTH(Loan_Start)+(Pay_Num)*12/Num_Pmt_Per_Year,DAY(Loan_Start)),"")</f>
        <v>52810</v>
      </c>
      <c r="C261" s="33">
        <f>IF(Pay_Num&lt;&gt;"",I260,"")</f>
        <v>0</v>
      </c>
      <c r="D261" s="33">
        <f>IF(Pay_Num&lt;&gt;"",Scheduled_Monthly_Payment,"")</f>
        <v>26333.835431927764</v>
      </c>
      <c r="E261" s="34">
        <f>IF(AND(Pay_Num&lt;&gt;"",Sched_Pay+Scheduled_Extra_Payments&lt;Beg_Bal),Scheduled_Extra_Payments,IF(AND(Pay_Num&lt;&gt;"",Beg_Bal-Sched_Pay&gt;0),Beg_Bal-Sched_Pay,IF(Pay_Num&lt;&gt;"",0,"")))</f>
        <v>0</v>
      </c>
      <c r="F261" s="33">
        <f>IF(AND(Pay_Num&lt;&gt;"",Sched_Pay+Extra_Pay&lt;Beg_Bal),Sched_Pay+Extra_Pay,IF(Pay_Num&lt;&gt;"",Beg_Bal,""))</f>
        <v>0</v>
      </c>
      <c r="G261" s="33">
        <f>IF(Pay_Num&lt;&gt;"",Total_Pay-Int,"")</f>
        <v>0</v>
      </c>
      <c r="H261" s="33">
        <f>IF(Pay_Num&lt;&gt;"",Beg_Bal*Interest_Rate/Num_Pmt_Per_Year,"")</f>
        <v>0</v>
      </c>
      <c r="I261" s="33">
        <f>IF(AND(Pay_Num&lt;&gt;"",Sched_Pay+Extra_Pay&lt;Beg_Bal),Beg_Bal-Princ,IF(Pay_Num&lt;&gt;"",0,""))</f>
        <v>0</v>
      </c>
      <c r="J261" s="33">
        <f>SUM($H$18:$H261)</f>
        <v>264024.10073253291</v>
      </c>
    </row>
    <row r="262" spans="1:10" x14ac:dyDescent="0.3">
      <c r="A262" s="36">
        <f>IF(Values_Entered,A261+1,"")</f>
        <v>245</v>
      </c>
      <c r="B262" s="35">
        <f>IF(Pay_Num&lt;&gt;"",DATE(YEAR(Loan_Start),MONTH(Loan_Start)+(Pay_Num)*12/Num_Pmt_Per_Year,DAY(Loan_Start)),"")</f>
        <v>52841</v>
      </c>
      <c r="C262" s="33">
        <f>IF(Pay_Num&lt;&gt;"",I261,"")</f>
        <v>0</v>
      </c>
      <c r="D262" s="33">
        <f>IF(Pay_Num&lt;&gt;"",Scheduled_Monthly_Payment,"")</f>
        <v>26333.835431927764</v>
      </c>
      <c r="E262" s="34">
        <f>IF(AND(Pay_Num&lt;&gt;"",Sched_Pay+Scheduled_Extra_Payments&lt;Beg_Bal),Scheduled_Extra_Payments,IF(AND(Pay_Num&lt;&gt;"",Beg_Bal-Sched_Pay&gt;0),Beg_Bal-Sched_Pay,IF(Pay_Num&lt;&gt;"",0,"")))</f>
        <v>0</v>
      </c>
      <c r="F262" s="33">
        <f>IF(AND(Pay_Num&lt;&gt;"",Sched_Pay+Extra_Pay&lt;Beg_Bal),Sched_Pay+Extra_Pay,IF(Pay_Num&lt;&gt;"",Beg_Bal,""))</f>
        <v>0</v>
      </c>
      <c r="G262" s="33">
        <f>IF(Pay_Num&lt;&gt;"",Total_Pay-Int,"")</f>
        <v>0</v>
      </c>
      <c r="H262" s="33">
        <f>IF(Pay_Num&lt;&gt;"",Beg_Bal*Interest_Rate/Num_Pmt_Per_Year,"")</f>
        <v>0</v>
      </c>
      <c r="I262" s="33">
        <f>IF(AND(Pay_Num&lt;&gt;"",Sched_Pay+Extra_Pay&lt;Beg_Bal),Beg_Bal-Princ,IF(Pay_Num&lt;&gt;"",0,""))</f>
        <v>0</v>
      </c>
      <c r="J262" s="33">
        <f>SUM($H$18:$H262)</f>
        <v>264024.10073253291</v>
      </c>
    </row>
    <row r="263" spans="1:10" x14ac:dyDescent="0.3">
      <c r="A263" s="36">
        <f>IF(Values_Entered,A262+1,"")</f>
        <v>246</v>
      </c>
      <c r="B263" s="35">
        <f>IF(Pay_Num&lt;&gt;"",DATE(YEAR(Loan_Start),MONTH(Loan_Start)+(Pay_Num)*12/Num_Pmt_Per_Year,DAY(Loan_Start)),"")</f>
        <v>52871</v>
      </c>
      <c r="C263" s="33">
        <f>IF(Pay_Num&lt;&gt;"",I262,"")</f>
        <v>0</v>
      </c>
      <c r="D263" s="33">
        <f>IF(Pay_Num&lt;&gt;"",Scheduled_Monthly_Payment,"")</f>
        <v>26333.835431927764</v>
      </c>
      <c r="E263" s="34">
        <f>IF(AND(Pay_Num&lt;&gt;"",Sched_Pay+Scheduled_Extra_Payments&lt;Beg_Bal),Scheduled_Extra_Payments,IF(AND(Pay_Num&lt;&gt;"",Beg_Bal-Sched_Pay&gt;0),Beg_Bal-Sched_Pay,IF(Pay_Num&lt;&gt;"",0,"")))</f>
        <v>0</v>
      </c>
      <c r="F263" s="33">
        <f>IF(AND(Pay_Num&lt;&gt;"",Sched_Pay+Extra_Pay&lt;Beg_Bal),Sched_Pay+Extra_Pay,IF(Pay_Num&lt;&gt;"",Beg_Bal,""))</f>
        <v>0</v>
      </c>
      <c r="G263" s="33">
        <f>IF(Pay_Num&lt;&gt;"",Total_Pay-Int,"")</f>
        <v>0</v>
      </c>
      <c r="H263" s="33">
        <f>IF(Pay_Num&lt;&gt;"",Beg_Bal*Interest_Rate/Num_Pmt_Per_Year,"")</f>
        <v>0</v>
      </c>
      <c r="I263" s="33">
        <f>IF(AND(Pay_Num&lt;&gt;"",Sched_Pay+Extra_Pay&lt;Beg_Bal),Beg_Bal-Princ,IF(Pay_Num&lt;&gt;"",0,""))</f>
        <v>0</v>
      </c>
      <c r="J263" s="33">
        <f>SUM($H$18:$H263)</f>
        <v>264024.10073253291</v>
      </c>
    </row>
    <row r="264" spans="1:10" x14ac:dyDescent="0.3">
      <c r="A264" s="36">
        <f>IF(Values_Entered,A263+1,"")</f>
        <v>247</v>
      </c>
      <c r="B264" s="35">
        <f>IF(Pay_Num&lt;&gt;"",DATE(YEAR(Loan_Start),MONTH(Loan_Start)+(Pay_Num)*12/Num_Pmt_Per_Year,DAY(Loan_Start)),"")</f>
        <v>52902</v>
      </c>
      <c r="C264" s="33">
        <f>IF(Pay_Num&lt;&gt;"",I263,"")</f>
        <v>0</v>
      </c>
      <c r="D264" s="33">
        <f>IF(Pay_Num&lt;&gt;"",Scheduled_Monthly_Payment,"")</f>
        <v>26333.835431927764</v>
      </c>
      <c r="E264" s="34">
        <f>IF(AND(Pay_Num&lt;&gt;"",Sched_Pay+Scheduled_Extra_Payments&lt;Beg_Bal),Scheduled_Extra_Payments,IF(AND(Pay_Num&lt;&gt;"",Beg_Bal-Sched_Pay&gt;0),Beg_Bal-Sched_Pay,IF(Pay_Num&lt;&gt;"",0,"")))</f>
        <v>0</v>
      </c>
      <c r="F264" s="33">
        <f>IF(AND(Pay_Num&lt;&gt;"",Sched_Pay+Extra_Pay&lt;Beg_Bal),Sched_Pay+Extra_Pay,IF(Pay_Num&lt;&gt;"",Beg_Bal,""))</f>
        <v>0</v>
      </c>
      <c r="G264" s="33">
        <f>IF(Pay_Num&lt;&gt;"",Total_Pay-Int,"")</f>
        <v>0</v>
      </c>
      <c r="H264" s="33">
        <f>IF(Pay_Num&lt;&gt;"",Beg_Bal*Interest_Rate/Num_Pmt_Per_Year,"")</f>
        <v>0</v>
      </c>
      <c r="I264" s="33">
        <f>IF(AND(Pay_Num&lt;&gt;"",Sched_Pay+Extra_Pay&lt;Beg_Bal),Beg_Bal-Princ,IF(Pay_Num&lt;&gt;"",0,""))</f>
        <v>0</v>
      </c>
      <c r="J264" s="33">
        <f>SUM($H$18:$H264)</f>
        <v>264024.10073253291</v>
      </c>
    </row>
    <row r="265" spans="1:10" x14ac:dyDescent="0.3">
      <c r="A265" s="36">
        <f>IF(Values_Entered,A264+1,"")</f>
        <v>248</v>
      </c>
      <c r="B265" s="35">
        <f>IF(Pay_Num&lt;&gt;"",DATE(YEAR(Loan_Start),MONTH(Loan_Start)+(Pay_Num)*12/Num_Pmt_Per_Year,DAY(Loan_Start)),"")</f>
        <v>52932</v>
      </c>
      <c r="C265" s="33">
        <f>IF(Pay_Num&lt;&gt;"",I264,"")</f>
        <v>0</v>
      </c>
      <c r="D265" s="33">
        <f>IF(Pay_Num&lt;&gt;"",Scheduled_Monthly_Payment,"")</f>
        <v>26333.835431927764</v>
      </c>
      <c r="E265" s="34">
        <f>IF(AND(Pay_Num&lt;&gt;"",Sched_Pay+Scheduled_Extra_Payments&lt;Beg_Bal),Scheduled_Extra_Payments,IF(AND(Pay_Num&lt;&gt;"",Beg_Bal-Sched_Pay&gt;0),Beg_Bal-Sched_Pay,IF(Pay_Num&lt;&gt;"",0,"")))</f>
        <v>0</v>
      </c>
      <c r="F265" s="33">
        <f>IF(AND(Pay_Num&lt;&gt;"",Sched_Pay+Extra_Pay&lt;Beg_Bal),Sched_Pay+Extra_Pay,IF(Pay_Num&lt;&gt;"",Beg_Bal,""))</f>
        <v>0</v>
      </c>
      <c r="G265" s="33">
        <f>IF(Pay_Num&lt;&gt;"",Total_Pay-Int,"")</f>
        <v>0</v>
      </c>
      <c r="H265" s="33">
        <f>IF(Pay_Num&lt;&gt;"",Beg_Bal*Interest_Rate/Num_Pmt_Per_Year,"")</f>
        <v>0</v>
      </c>
      <c r="I265" s="33">
        <f>IF(AND(Pay_Num&lt;&gt;"",Sched_Pay+Extra_Pay&lt;Beg_Bal),Beg_Bal-Princ,IF(Pay_Num&lt;&gt;"",0,""))</f>
        <v>0</v>
      </c>
      <c r="J265" s="33">
        <f>SUM($H$18:$H265)</f>
        <v>264024.10073253291</v>
      </c>
    </row>
    <row r="266" spans="1:10" x14ac:dyDescent="0.3">
      <c r="A266" s="36">
        <f>IF(Values_Entered,A265+1,"")</f>
        <v>249</v>
      </c>
      <c r="B266" s="35">
        <f>IF(Pay_Num&lt;&gt;"",DATE(YEAR(Loan_Start),MONTH(Loan_Start)+(Pay_Num)*12/Num_Pmt_Per_Year,DAY(Loan_Start)),"")</f>
        <v>52963</v>
      </c>
      <c r="C266" s="33">
        <f>IF(Pay_Num&lt;&gt;"",I265,"")</f>
        <v>0</v>
      </c>
      <c r="D266" s="33">
        <f>IF(Pay_Num&lt;&gt;"",Scheduled_Monthly_Payment,"")</f>
        <v>26333.835431927764</v>
      </c>
      <c r="E266" s="34">
        <f>IF(AND(Pay_Num&lt;&gt;"",Sched_Pay+Scheduled_Extra_Payments&lt;Beg_Bal),Scheduled_Extra_Payments,IF(AND(Pay_Num&lt;&gt;"",Beg_Bal-Sched_Pay&gt;0),Beg_Bal-Sched_Pay,IF(Pay_Num&lt;&gt;"",0,"")))</f>
        <v>0</v>
      </c>
      <c r="F266" s="33">
        <f>IF(AND(Pay_Num&lt;&gt;"",Sched_Pay+Extra_Pay&lt;Beg_Bal),Sched_Pay+Extra_Pay,IF(Pay_Num&lt;&gt;"",Beg_Bal,""))</f>
        <v>0</v>
      </c>
      <c r="G266" s="33">
        <f>IF(Pay_Num&lt;&gt;"",Total_Pay-Int,"")</f>
        <v>0</v>
      </c>
      <c r="H266" s="33">
        <f>IF(Pay_Num&lt;&gt;"",Beg_Bal*Interest_Rate/Num_Pmt_Per_Year,"")</f>
        <v>0</v>
      </c>
      <c r="I266" s="33">
        <f>IF(AND(Pay_Num&lt;&gt;"",Sched_Pay+Extra_Pay&lt;Beg_Bal),Beg_Bal-Princ,IF(Pay_Num&lt;&gt;"",0,""))</f>
        <v>0</v>
      </c>
      <c r="J266" s="33">
        <f>SUM($H$18:$H266)</f>
        <v>264024.10073253291</v>
      </c>
    </row>
    <row r="267" spans="1:10" x14ac:dyDescent="0.3">
      <c r="A267" s="36">
        <f>IF(Values_Entered,A266+1,"")</f>
        <v>250</v>
      </c>
      <c r="B267" s="35">
        <f>IF(Pay_Num&lt;&gt;"",DATE(YEAR(Loan_Start),MONTH(Loan_Start)+(Pay_Num)*12/Num_Pmt_Per_Year,DAY(Loan_Start)),"")</f>
        <v>52994</v>
      </c>
      <c r="C267" s="33">
        <f>IF(Pay_Num&lt;&gt;"",I266,"")</f>
        <v>0</v>
      </c>
      <c r="D267" s="33">
        <f>IF(Pay_Num&lt;&gt;"",Scheduled_Monthly_Payment,"")</f>
        <v>26333.835431927764</v>
      </c>
      <c r="E267" s="34">
        <f>IF(AND(Pay_Num&lt;&gt;"",Sched_Pay+Scheduled_Extra_Payments&lt;Beg_Bal),Scheduled_Extra_Payments,IF(AND(Pay_Num&lt;&gt;"",Beg_Bal-Sched_Pay&gt;0),Beg_Bal-Sched_Pay,IF(Pay_Num&lt;&gt;"",0,"")))</f>
        <v>0</v>
      </c>
      <c r="F267" s="33">
        <f>IF(AND(Pay_Num&lt;&gt;"",Sched_Pay+Extra_Pay&lt;Beg_Bal),Sched_Pay+Extra_Pay,IF(Pay_Num&lt;&gt;"",Beg_Bal,""))</f>
        <v>0</v>
      </c>
      <c r="G267" s="33">
        <f>IF(Pay_Num&lt;&gt;"",Total_Pay-Int,"")</f>
        <v>0</v>
      </c>
      <c r="H267" s="33">
        <f>IF(Pay_Num&lt;&gt;"",Beg_Bal*Interest_Rate/Num_Pmt_Per_Year,"")</f>
        <v>0</v>
      </c>
      <c r="I267" s="33">
        <f>IF(AND(Pay_Num&lt;&gt;"",Sched_Pay+Extra_Pay&lt;Beg_Bal),Beg_Bal-Princ,IF(Pay_Num&lt;&gt;"",0,""))</f>
        <v>0</v>
      </c>
      <c r="J267" s="33">
        <f>SUM($H$18:$H267)</f>
        <v>264024.10073253291</v>
      </c>
    </row>
    <row r="268" spans="1:10" x14ac:dyDescent="0.3">
      <c r="A268" s="36">
        <f>IF(Values_Entered,A267+1,"")</f>
        <v>251</v>
      </c>
      <c r="B268" s="35">
        <f>IF(Pay_Num&lt;&gt;"",DATE(YEAR(Loan_Start),MONTH(Loan_Start)+(Pay_Num)*12/Num_Pmt_Per_Year,DAY(Loan_Start)),"")</f>
        <v>53022</v>
      </c>
      <c r="C268" s="33">
        <f>IF(Pay_Num&lt;&gt;"",I267,"")</f>
        <v>0</v>
      </c>
      <c r="D268" s="33">
        <f>IF(Pay_Num&lt;&gt;"",Scheduled_Monthly_Payment,"")</f>
        <v>26333.835431927764</v>
      </c>
      <c r="E268" s="34">
        <f>IF(AND(Pay_Num&lt;&gt;"",Sched_Pay+Scheduled_Extra_Payments&lt;Beg_Bal),Scheduled_Extra_Payments,IF(AND(Pay_Num&lt;&gt;"",Beg_Bal-Sched_Pay&gt;0),Beg_Bal-Sched_Pay,IF(Pay_Num&lt;&gt;"",0,"")))</f>
        <v>0</v>
      </c>
      <c r="F268" s="33">
        <f>IF(AND(Pay_Num&lt;&gt;"",Sched_Pay+Extra_Pay&lt;Beg_Bal),Sched_Pay+Extra_Pay,IF(Pay_Num&lt;&gt;"",Beg_Bal,""))</f>
        <v>0</v>
      </c>
      <c r="G268" s="33">
        <f>IF(Pay_Num&lt;&gt;"",Total_Pay-Int,"")</f>
        <v>0</v>
      </c>
      <c r="H268" s="33">
        <f>IF(Pay_Num&lt;&gt;"",Beg_Bal*Interest_Rate/Num_Pmt_Per_Year,"")</f>
        <v>0</v>
      </c>
      <c r="I268" s="33">
        <f>IF(AND(Pay_Num&lt;&gt;"",Sched_Pay+Extra_Pay&lt;Beg_Bal),Beg_Bal-Princ,IF(Pay_Num&lt;&gt;"",0,""))</f>
        <v>0</v>
      </c>
      <c r="J268" s="33">
        <f>SUM($H$18:$H268)</f>
        <v>264024.10073253291</v>
      </c>
    </row>
    <row r="269" spans="1:10" x14ac:dyDescent="0.3">
      <c r="A269" s="36">
        <f>IF(Values_Entered,A268+1,"")</f>
        <v>252</v>
      </c>
      <c r="B269" s="35">
        <f>IF(Pay_Num&lt;&gt;"",DATE(YEAR(Loan_Start),MONTH(Loan_Start)+(Pay_Num)*12/Num_Pmt_Per_Year,DAY(Loan_Start)),"")</f>
        <v>53053</v>
      </c>
      <c r="C269" s="33">
        <f>IF(Pay_Num&lt;&gt;"",I268,"")</f>
        <v>0</v>
      </c>
      <c r="D269" s="33">
        <f>IF(Pay_Num&lt;&gt;"",Scheduled_Monthly_Payment,"")</f>
        <v>26333.835431927764</v>
      </c>
      <c r="E269" s="34">
        <f>IF(AND(Pay_Num&lt;&gt;"",Sched_Pay+Scheduled_Extra_Payments&lt;Beg_Bal),Scheduled_Extra_Payments,IF(AND(Pay_Num&lt;&gt;"",Beg_Bal-Sched_Pay&gt;0),Beg_Bal-Sched_Pay,IF(Pay_Num&lt;&gt;"",0,"")))</f>
        <v>0</v>
      </c>
      <c r="F269" s="33">
        <f>IF(AND(Pay_Num&lt;&gt;"",Sched_Pay+Extra_Pay&lt;Beg_Bal),Sched_Pay+Extra_Pay,IF(Pay_Num&lt;&gt;"",Beg_Bal,""))</f>
        <v>0</v>
      </c>
      <c r="G269" s="33">
        <f>IF(Pay_Num&lt;&gt;"",Total_Pay-Int,"")</f>
        <v>0</v>
      </c>
      <c r="H269" s="33">
        <f>IF(Pay_Num&lt;&gt;"",Beg_Bal*Interest_Rate/Num_Pmt_Per_Year,"")</f>
        <v>0</v>
      </c>
      <c r="I269" s="33">
        <f>IF(AND(Pay_Num&lt;&gt;"",Sched_Pay+Extra_Pay&lt;Beg_Bal),Beg_Bal-Princ,IF(Pay_Num&lt;&gt;"",0,""))</f>
        <v>0</v>
      </c>
      <c r="J269" s="33">
        <f>SUM($H$18:$H269)</f>
        <v>264024.10073253291</v>
      </c>
    </row>
    <row r="270" spans="1:10" x14ac:dyDescent="0.3">
      <c r="A270" s="36">
        <f>IF(Values_Entered,A269+1,"")</f>
        <v>253</v>
      </c>
      <c r="B270" s="35">
        <f>IF(Pay_Num&lt;&gt;"",DATE(YEAR(Loan_Start),MONTH(Loan_Start)+(Pay_Num)*12/Num_Pmt_Per_Year,DAY(Loan_Start)),"")</f>
        <v>53083</v>
      </c>
      <c r="C270" s="33">
        <f>IF(Pay_Num&lt;&gt;"",I269,"")</f>
        <v>0</v>
      </c>
      <c r="D270" s="33">
        <f>IF(Pay_Num&lt;&gt;"",Scheduled_Monthly_Payment,"")</f>
        <v>26333.835431927764</v>
      </c>
      <c r="E270" s="34">
        <f>IF(AND(Pay_Num&lt;&gt;"",Sched_Pay+Scheduled_Extra_Payments&lt;Beg_Bal),Scheduled_Extra_Payments,IF(AND(Pay_Num&lt;&gt;"",Beg_Bal-Sched_Pay&gt;0),Beg_Bal-Sched_Pay,IF(Pay_Num&lt;&gt;"",0,"")))</f>
        <v>0</v>
      </c>
      <c r="F270" s="33">
        <f>IF(AND(Pay_Num&lt;&gt;"",Sched_Pay+Extra_Pay&lt;Beg_Bal),Sched_Pay+Extra_Pay,IF(Pay_Num&lt;&gt;"",Beg_Bal,""))</f>
        <v>0</v>
      </c>
      <c r="G270" s="33">
        <f>IF(Pay_Num&lt;&gt;"",Total_Pay-Int,"")</f>
        <v>0</v>
      </c>
      <c r="H270" s="33">
        <f>IF(Pay_Num&lt;&gt;"",Beg_Bal*Interest_Rate/Num_Pmt_Per_Year,"")</f>
        <v>0</v>
      </c>
      <c r="I270" s="33">
        <f>IF(AND(Pay_Num&lt;&gt;"",Sched_Pay+Extra_Pay&lt;Beg_Bal),Beg_Bal-Princ,IF(Pay_Num&lt;&gt;"",0,""))</f>
        <v>0</v>
      </c>
      <c r="J270" s="33">
        <f>SUM($H$18:$H270)</f>
        <v>264024.10073253291</v>
      </c>
    </row>
    <row r="271" spans="1:10" x14ac:dyDescent="0.3">
      <c r="A271" s="36">
        <f>IF(Values_Entered,A270+1,"")</f>
        <v>254</v>
      </c>
      <c r="B271" s="35">
        <f>IF(Pay_Num&lt;&gt;"",DATE(YEAR(Loan_Start),MONTH(Loan_Start)+(Pay_Num)*12/Num_Pmt_Per_Year,DAY(Loan_Start)),"")</f>
        <v>53114</v>
      </c>
      <c r="C271" s="33">
        <f>IF(Pay_Num&lt;&gt;"",I270,"")</f>
        <v>0</v>
      </c>
      <c r="D271" s="33">
        <f>IF(Pay_Num&lt;&gt;"",Scheduled_Monthly_Payment,"")</f>
        <v>26333.835431927764</v>
      </c>
      <c r="E271" s="34">
        <f>IF(AND(Pay_Num&lt;&gt;"",Sched_Pay+Scheduled_Extra_Payments&lt;Beg_Bal),Scheduled_Extra_Payments,IF(AND(Pay_Num&lt;&gt;"",Beg_Bal-Sched_Pay&gt;0),Beg_Bal-Sched_Pay,IF(Pay_Num&lt;&gt;"",0,"")))</f>
        <v>0</v>
      </c>
      <c r="F271" s="33">
        <f>IF(AND(Pay_Num&lt;&gt;"",Sched_Pay+Extra_Pay&lt;Beg_Bal),Sched_Pay+Extra_Pay,IF(Pay_Num&lt;&gt;"",Beg_Bal,""))</f>
        <v>0</v>
      </c>
      <c r="G271" s="33">
        <f>IF(Pay_Num&lt;&gt;"",Total_Pay-Int,"")</f>
        <v>0</v>
      </c>
      <c r="H271" s="33">
        <f>IF(Pay_Num&lt;&gt;"",Beg_Bal*Interest_Rate/Num_Pmt_Per_Year,"")</f>
        <v>0</v>
      </c>
      <c r="I271" s="33">
        <f>IF(AND(Pay_Num&lt;&gt;"",Sched_Pay+Extra_Pay&lt;Beg_Bal),Beg_Bal-Princ,IF(Pay_Num&lt;&gt;"",0,""))</f>
        <v>0</v>
      </c>
      <c r="J271" s="33">
        <f>SUM($H$18:$H271)</f>
        <v>264024.10073253291</v>
      </c>
    </row>
    <row r="272" spans="1:10" x14ac:dyDescent="0.3">
      <c r="A272" s="36">
        <f>IF(Values_Entered,A271+1,"")</f>
        <v>255</v>
      </c>
      <c r="B272" s="35">
        <f>IF(Pay_Num&lt;&gt;"",DATE(YEAR(Loan_Start),MONTH(Loan_Start)+(Pay_Num)*12/Num_Pmt_Per_Year,DAY(Loan_Start)),"")</f>
        <v>53144</v>
      </c>
      <c r="C272" s="33">
        <f>IF(Pay_Num&lt;&gt;"",I271,"")</f>
        <v>0</v>
      </c>
      <c r="D272" s="33">
        <f>IF(Pay_Num&lt;&gt;"",Scheduled_Monthly_Payment,"")</f>
        <v>26333.835431927764</v>
      </c>
      <c r="E272" s="34">
        <f>IF(AND(Pay_Num&lt;&gt;"",Sched_Pay+Scheduled_Extra_Payments&lt;Beg_Bal),Scheduled_Extra_Payments,IF(AND(Pay_Num&lt;&gt;"",Beg_Bal-Sched_Pay&gt;0),Beg_Bal-Sched_Pay,IF(Pay_Num&lt;&gt;"",0,"")))</f>
        <v>0</v>
      </c>
      <c r="F272" s="33">
        <f>IF(AND(Pay_Num&lt;&gt;"",Sched_Pay+Extra_Pay&lt;Beg_Bal),Sched_Pay+Extra_Pay,IF(Pay_Num&lt;&gt;"",Beg_Bal,""))</f>
        <v>0</v>
      </c>
      <c r="G272" s="33">
        <f>IF(Pay_Num&lt;&gt;"",Total_Pay-Int,"")</f>
        <v>0</v>
      </c>
      <c r="H272" s="33">
        <f>IF(Pay_Num&lt;&gt;"",Beg_Bal*Interest_Rate/Num_Pmt_Per_Year,"")</f>
        <v>0</v>
      </c>
      <c r="I272" s="33">
        <f>IF(AND(Pay_Num&lt;&gt;"",Sched_Pay+Extra_Pay&lt;Beg_Bal),Beg_Bal-Princ,IF(Pay_Num&lt;&gt;"",0,""))</f>
        <v>0</v>
      </c>
      <c r="J272" s="33">
        <f>SUM($H$18:$H272)</f>
        <v>264024.10073253291</v>
      </c>
    </row>
    <row r="273" spans="1:10" x14ac:dyDescent="0.3">
      <c r="A273" s="36">
        <f>IF(Values_Entered,A272+1,"")</f>
        <v>256</v>
      </c>
      <c r="B273" s="35">
        <f>IF(Pay_Num&lt;&gt;"",DATE(YEAR(Loan_Start),MONTH(Loan_Start)+(Pay_Num)*12/Num_Pmt_Per_Year,DAY(Loan_Start)),"")</f>
        <v>53175</v>
      </c>
      <c r="C273" s="33">
        <f>IF(Pay_Num&lt;&gt;"",I272,"")</f>
        <v>0</v>
      </c>
      <c r="D273" s="33">
        <f>IF(Pay_Num&lt;&gt;"",Scheduled_Monthly_Payment,"")</f>
        <v>26333.835431927764</v>
      </c>
      <c r="E273" s="34">
        <f>IF(AND(Pay_Num&lt;&gt;"",Sched_Pay+Scheduled_Extra_Payments&lt;Beg_Bal),Scheduled_Extra_Payments,IF(AND(Pay_Num&lt;&gt;"",Beg_Bal-Sched_Pay&gt;0),Beg_Bal-Sched_Pay,IF(Pay_Num&lt;&gt;"",0,"")))</f>
        <v>0</v>
      </c>
      <c r="F273" s="33">
        <f>IF(AND(Pay_Num&lt;&gt;"",Sched_Pay+Extra_Pay&lt;Beg_Bal),Sched_Pay+Extra_Pay,IF(Pay_Num&lt;&gt;"",Beg_Bal,""))</f>
        <v>0</v>
      </c>
      <c r="G273" s="33">
        <f>IF(Pay_Num&lt;&gt;"",Total_Pay-Int,"")</f>
        <v>0</v>
      </c>
      <c r="H273" s="33">
        <f>IF(Pay_Num&lt;&gt;"",Beg_Bal*Interest_Rate/Num_Pmt_Per_Year,"")</f>
        <v>0</v>
      </c>
      <c r="I273" s="33">
        <f>IF(AND(Pay_Num&lt;&gt;"",Sched_Pay+Extra_Pay&lt;Beg_Bal),Beg_Bal-Princ,IF(Pay_Num&lt;&gt;"",0,""))</f>
        <v>0</v>
      </c>
      <c r="J273" s="33">
        <f>SUM($H$18:$H273)</f>
        <v>264024.10073253291</v>
      </c>
    </row>
    <row r="274" spans="1:10" x14ac:dyDescent="0.3">
      <c r="A274" s="36">
        <f>IF(Values_Entered,A273+1,"")</f>
        <v>257</v>
      </c>
      <c r="B274" s="35">
        <f>IF(Pay_Num&lt;&gt;"",DATE(YEAR(Loan_Start),MONTH(Loan_Start)+(Pay_Num)*12/Num_Pmt_Per_Year,DAY(Loan_Start)),"")</f>
        <v>53206</v>
      </c>
      <c r="C274" s="33">
        <f>IF(Pay_Num&lt;&gt;"",I273,"")</f>
        <v>0</v>
      </c>
      <c r="D274" s="33">
        <f>IF(Pay_Num&lt;&gt;"",Scheduled_Monthly_Payment,"")</f>
        <v>26333.835431927764</v>
      </c>
      <c r="E274" s="34">
        <f>IF(AND(Pay_Num&lt;&gt;"",Sched_Pay+Scheduled_Extra_Payments&lt;Beg_Bal),Scheduled_Extra_Payments,IF(AND(Pay_Num&lt;&gt;"",Beg_Bal-Sched_Pay&gt;0),Beg_Bal-Sched_Pay,IF(Pay_Num&lt;&gt;"",0,"")))</f>
        <v>0</v>
      </c>
      <c r="F274" s="33">
        <f>IF(AND(Pay_Num&lt;&gt;"",Sched_Pay+Extra_Pay&lt;Beg_Bal),Sched_Pay+Extra_Pay,IF(Pay_Num&lt;&gt;"",Beg_Bal,""))</f>
        <v>0</v>
      </c>
      <c r="G274" s="33">
        <f>IF(Pay_Num&lt;&gt;"",Total_Pay-Int,"")</f>
        <v>0</v>
      </c>
      <c r="H274" s="33">
        <f>IF(Pay_Num&lt;&gt;"",Beg_Bal*Interest_Rate/Num_Pmt_Per_Year,"")</f>
        <v>0</v>
      </c>
      <c r="I274" s="33">
        <f>IF(AND(Pay_Num&lt;&gt;"",Sched_Pay+Extra_Pay&lt;Beg_Bal),Beg_Bal-Princ,IF(Pay_Num&lt;&gt;"",0,""))</f>
        <v>0</v>
      </c>
      <c r="J274" s="33">
        <f>SUM($H$18:$H274)</f>
        <v>264024.10073253291</v>
      </c>
    </row>
    <row r="275" spans="1:10" x14ac:dyDescent="0.3">
      <c r="A275" s="36">
        <f>IF(Values_Entered,A274+1,"")</f>
        <v>258</v>
      </c>
      <c r="B275" s="35">
        <f>IF(Pay_Num&lt;&gt;"",DATE(YEAR(Loan_Start),MONTH(Loan_Start)+(Pay_Num)*12/Num_Pmt_Per_Year,DAY(Loan_Start)),"")</f>
        <v>53236</v>
      </c>
      <c r="C275" s="33">
        <f>IF(Pay_Num&lt;&gt;"",I274,"")</f>
        <v>0</v>
      </c>
      <c r="D275" s="33">
        <f>IF(Pay_Num&lt;&gt;"",Scheduled_Monthly_Payment,"")</f>
        <v>26333.835431927764</v>
      </c>
      <c r="E275" s="34">
        <f>IF(AND(Pay_Num&lt;&gt;"",Sched_Pay+Scheduled_Extra_Payments&lt;Beg_Bal),Scheduled_Extra_Payments,IF(AND(Pay_Num&lt;&gt;"",Beg_Bal-Sched_Pay&gt;0),Beg_Bal-Sched_Pay,IF(Pay_Num&lt;&gt;"",0,"")))</f>
        <v>0</v>
      </c>
      <c r="F275" s="33">
        <f>IF(AND(Pay_Num&lt;&gt;"",Sched_Pay+Extra_Pay&lt;Beg_Bal),Sched_Pay+Extra_Pay,IF(Pay_Num&lt;&gt;"",Beg_Bal,""))</f>
        <v>0</v>
      </c>
      <c r="G275" s="33">
        <f>IF(Pay_Num&lt;&gt;"",Total_Pay-Int,"")</f>
        <v>0</v>
      </c>
      <c r="H275" s="33">
        <f>IF(Pay_Num&lt;&gt;"",Beg_Bal*Interest_Rate/Num_Pmt_Per_Year,"")</f>
        <v>0</v>
      </c>
      <c r="I275" s="33">
        <f>IF(AND(Pay_Num&lt;&gt;"",Sched_Pay+Extra_Pay&lt;Beg_Bal),Beg_Bal-Princ,IF(Pay_Num&lt;&gt;"",0,""))</f>
        <v>0</v>
      </c>
      <c r="J275" s="33">
        <f>SUM($H$18:$H275)</f>
        <v>264024.10073253291</v>
      </c>
    </row>
    <row r="276" spans="1:10" x14ac:dyDescent="0.3">
      <c r="A276" s="36">
        <f>IF(Values_Entered,A275+1,"")</f>
        <v>259</v>
      </c>
      <c r="B276" s="35">
        <f>IF(Pay_Num&lt;&gt;"",DATE(YEAR(Loan_Start),MONTH(Loan_Start)+(Pay_Num)*12/Num_Pmt_Per_Year,DAY(Loan_Start)),"")</f>
        <v>53267</v>
      </c>
      <c r="C276" s="33">
        <f>IF(Pay_Num&lt;&gt;"",I275,"")</f>
        <v>0</v>
      </c>
      <c r="D276" s="33">
        <f>IF(Pay_Num&lt;&gt;"",Scheduled_Monthly_Payment,"")</f>
        <v>26333.835431927764</v>
      </c>
      <c r="E276" s="34">
        <f>IF(AND(Pay_Num&lt;&gt;"",Sched_Pay+Scheduled_Extra_Payments&lt;Beg_Bal),Scheduled_Extra_Payments,IF(AND(Pay_Num&lt;&gt;"",Beg_Bal-Sched_Pay&gt;0),Beg_Bal-Sched_Pay,IF(Pay_Num&lt;&gt;"",0,"")))</f>
        <v>0</v>
      </c>
      <c r="F276" s="33">
        <f>IF(AND(Pay_Num&lt;&gt;"",Sched_Pay+Extra_Pay&lt;Beg_Bal),Sched_Pay+Extra_Pay,IF(Pay_Num&lt;&gt;"",Beg_Bal,""))</f>
        <v>0</v>
      </c>
      <c r="G276" s="33">
        <f>IF(Pay_Num&lt;&gt;"",Total_Pay-Int,"")</f>
        <v>0</v>
      </c>
      <c r="H276" s="33">
        <f>IF(Pay_Num&lt;&gt;"",Beg_Bal*Interest_Rate/Num_Pmt_Per_Year,"")</f>
        <v>0</v>
      </c>
      <c r="I276" s="33">
        <f>IF(AND(Pay_Num&lt;&gt;"",Sched_Pay+Extra_Pay&lt;Beg_Bal),Beg_Bal-Princ,IF(Pay_Num&lt;&gt;"",0,""))</f>
        <v>0</v>
      </c>
      <c r="J276" s="33">
        <f>SUM($H$18:$H276)</f>
        <v>264024.10073253291</v>
      </c>
    </row>
    <row r="277" spans="1:10" x14ac:dyDescent="0.3">
      <c r="A277" s="36">
        <f>IF(Values_Entered,A276+1,"")</f>
        <v>260</v>
      </c>
      <c r="B277" s="35">
        <f>IF(Pay_Num&lt;&gt;"",DATE(YEAR(Loan_Start),MONTH(Loan_Start)+(Pay_Num)*12/Num_Pmt_Per_Year,DAY(Loan_Start)),"")</f>
        <v>53297</v>
      </c>
      <c r="C277" s="33">
        <f>IF(Pay_Num&lt;&gt;"",I276,"")</f>
        <v>0</v>
      </c>
      <c r="D277" s="33">
        <f>IF(Pay_Num&lt;&gt;"",Scheduled_Monthly_Payment,"")</f>
        <v>26333.835431927764</v>
      </c>
      <c r="E277" s="34">
        <f>IF(AND(Pay_Num&lt;&gt;"",Sched_Pay+Scheduled_Extra_Payments&lt;Beg_Bal),Scheduled_Extra_Payments,IF(AND(Pay_Num&lt;&gt;"",Beg_Bal-Sched_Pay&gt;0),Beg_Bal-Sched_Pay,IF(Pay_Num&lt;&gt;"",0,"")))</f>
        <v>0</v>
      </c>
      <c r="F277" s="33">
        <f>IF(AND(Pay_Num&lt;&gt;"",Sched_Pay+Extra_Pay&lt;Beg_Bal),Sched_Pay+Extra_Pay,IF(Pay_Num&lt;&gt;"",Beg_Bal,""))</f>
        <v>0</v>
      </c>
      <c r="G277" s="33">
        <f>IF(Pay_Num&lt;&gt;"",Total_Pay-Int,"")</f>
        <v>0</v>
      </c>
      <c r="H277" s="33">
        <f>IF(Pay_Num&lt;&gt;"",Beg_Bal*Interest_Rate/Num_Pmt_Per_Year,"")</f>
        <v>0</v>
      </c>
      <c r="I277" s="33">
        <f>IF(AND(Pay_Num&lt;&gt;"",Sched_Pay+Extra_Pay&lt;Beg_Bal),Beg_Bal-Princ,IF(Pay_Num&lt;&gt;"",0,""))</f>
        <v>0</v>
      </c>
      <c r="J277" s="33">
        <f>SUM($H$18:$H277)</f>
        <v>264024.10073253291</v>
      </c>
    </row>
    <row r="278" spans="1:10" x14ac:dyDescent="0.3">
      <c r="A278" s="36">
        <f>IF(Values_Entered,A277+1,"")</f>
        <v>261</v>
      </c>
      <c r="B278" s="35">
        <f>IF(Pay_Num&lt;&gt;"",DATE(YEAR(Loan_Start),MONTH(Loan_Start)+(Pay_Num)*12/Num_Pmt_Per_Year,DAY(Loan_Start)),"")</f>
        <v>53328</v>
      </c>
      <c r="C278" s="33">
        <f>IF(Pay_Num&lt;&gt;"",I277,"")</f>
        <v>0</v>
      </c>
      <c r="D278" s="33">
        <f>IF(Pay_Num&lt;&gt;"",Scheduled_Monthly_Payment,"")</f>
        <v>26333.835431927764</v>
      </c>
      <c r="E278" s="34">
        <f>IF(AND(Pay_Num&lt;&gt;"",Sched_Pay+Scheduled_Extra_Payments&lt;Beg_Bal),Scheduled_Extra_Payments,IF(AND(Pay_Num&lt;&gt;"",Beg_Bal-Sched_Pay&gt;0),Beg_Bal-Sched_Pay,IF(Pay_Num&lt;&gt;"",0,"")))</f>
        <v>0</v>
      </c>
      <c r="F278" s="33">
        <f>IF(AND(Pay_Num&lt;&gt;"",Sched_Pay+Extra_Pay&lt;Beg_Bal),Sched_Pay+Extra_Pay,IF(Pay_Num&lt;&gt;"",Beg_Bal,""))</f>
        <v>0</v>
      </c>
      <c r="G278" s="33">
        <f>IF(Pay_Num&lt;&gt;"",Total_Pay-Int,"")</f>
        <v>0</v>
      </c>
      <c r="H278" s="33">
        <f>IF(Pay_Num&lt;&gt;"",Beg_Bal*Interest_Rate/Num_Pmt_Per_Year,"")</f>
        <v>0</v>
      </c>
      <c r="I278" s="33">
        <f>IF(AND(Pay_Num&lt;&gt;"",Sched_Pay+Extra_Pay&lt;Beg_Bal),Beg_Bal-Princ,IF(Pay_Num&lt;&gt;"",0,""))</f>
        <v>0</v>
      </c>
      <c r="J278" s="33">
        <f>SUM($H$18:$H278)</f>
        <v>264024.10073253291</v>
      </c>
    </row>
    <row r="279" spans="1:10" x14ac:dyDescent="0.3">
      <c r="A279" s="36">
        <f>IF(Values_Entered,A278+1,"")</f>
        <v>262</v>
      </c>
      <c r="B279" s="35">
        <f>IF(Pay_Num&lt;&gt;"",DATE(YEAR(Loan_Start),MONTH(Loan_Start)+(Pay_Num)*12/Num_Pmt_Per_Year,DAY(Loan_Start)),"")</f>
        <v>53359</v>
      </c>
      <c r="C279" s="33">
        <f>IF(Pay_Num&lt;&gt;"",I278,"")</f>
        <v>0</v>
      </c>
      <c r="D279" s="33">
        <f>IF(Pay_Num&lt;&gt;"",Scheduled_Monthly_Payment,"")</f>
        <v>26333.835431927764</v>
      </c>
      <c r="E279" s="34">
        <f>IF(AND(Pay_Num&lt;&gt;"",Sched_Pay+Scheduled_Extra_Payments&lt;Beg_Bal),Scheduled_Extra_Payments,IF(AND(Pay_Num&lt;&gt;"",Beg_Bal-Sched_Pay&gt;0),Beg_Bal-Sched_Pay,IF(Pay_Num&lt;&gt;"",0,"")))</f>
        <v>0</v>
      </c>
      <c r="F279" s="33">
        <f>IF(AND(Pay_Num&lt;&gt;"",Sched_Pay+Extra_Pay&lt;Beg_Bal),Sched_Pay+Extra_Pay,IF(Pay_Num&lt;&gt;"",Beg_Bal,""))</f>
        <v>0</v>
      </c>
      <c r="G279" s="33">
        <f>IF(Pay_Num&lt;&gt;"",Total_Pay-Int,"")</f>
        <v>0</v>
      </c>
      <c r="H279" s="33">
        <f>IF(Pay_Num&lt;&gt;"",Beg_Bal*Interest_Rate/Num_Pmt_Per_Year,"")</f>
        <v>0</v>
      </c>
      <c r="I279" s="33">
        <f>IF(AND(Pay_Num&lt;&gt;"",Sched_Pay+Extra_Pay&lt;Beg_Bal),Beg_Bal-Princ,IF(Pay_Num&lt;&gt;"",0,""))</f>
        <v>0</v>
      </c>
      <c r="J279" s="33">
        <f>SUM($H$18:$H279)</f>
        <v>264024.10073253291</v>
      </c>
    </row>
    <row r="280" spans="1:10" x14ac:dyDescent="0.3">
      <c r="A280" s="36">
        <f>IF(Values_Entered,A279+1,"")</f>
        <v>263</v>
      </c>
      <c r="B280" s="35">
        <f>IF(Pay_Num&lt;&gt;"",DATE(YEAR(Loan_Start),MONTH(Loan_Start)+(Pay_Num)*12/Num_Pmt_Per_Year,DAY(Loan_Start)),"")</f>
        <v>53387</v>
      </c>
      <c r="C280" s="33">
        <f>IF(Pay_Num&lt;&gt;"",I279,"")</f>
        <v>0</v>
      </c>
      <c r="D280" s="33">
        <f>IF(Pay_Num&lt;&gt;"",Scheduled_Monthly_Payment,"")</f>
        <v>26333.835431927764</v>
      </c>
      <c r="E280" s="34">
        <f>IF(AND(Pay_Num&lt;&gt;"",Sched_Pay+Scheduled_Extra_Payments&lt;Beg_Bal),Scheduled_Extra_Payments,IF(AND(Pay_Num&lt;&gt;"",Beg_Bal-Sched_Pay&gt;0),Beg_Bal-Sched_Pay,IF(Pay_Num&lt;&gt;"",0,"")))</f>
        <v>0</v>
      </c>
      <c r="F280" s="33">
        <f>IF(AND(Pay_Num&lt;&gt;"",Sched_Pay+Extra_Pay&lt;Beg_Bal),Sched_Pay+Extra_Pay,IF(Pay_Num&lt;&gt;"",Beg_Bal,""))</f>
        <v>0</v>
      </c>
      <c r="G280" s="33">
        <f>IF(Pay_Num&lt;&gt;"",Total_Pay-Int,"")</f>
        <v>0</v>
      </c>
      <c r="H280" s="33">
        <f>IF(Pay_Num&lt;&gt;"",Beg_Bal*Interest_Rate/Num_Pmt_Per_Year,"")</f>
        <v>0</v>
      </c>
      <c r="I280" s="33">
        <f>IF(AND(Pay_Num&lt;&gt;"",Sched_Pay+Extra_Pay&lt;Beg_Bal),Beg_Bal-Princ,IF(Pay_Num&lt;&gt;"",0,""))</f>
        <v>0</v>
      </c>
      <c r="J280" s="33">
        <f>SUM($H$18:$H280)</f>
        <v>264024.10073253291</v>
      </c>
    </row>
    <row r="281" spans="1:10" x14ac:dyDescent="0.3">
      <c r="A281" s="36">
        <f>IF(Values_Entered,A280+1,"")</f>
        <v>264</v>
      </c>
      <c r="B281" s="35">
        <f>IF(Pay_Num&lt;&gt;"",DATE(YEAR(Loan_Start),MONTH(Loan_Start)+(Pay_Num)*12/Num_Pmt_Per_Year,DAY(Loan_Start)),"")</f>
        <v>53418</v>
      </c>
      <c r="C281" s="33">
        <f>IF(Pay_Num&lt;&gt;"",I280,"")</f>
        <v>0</v>
      </c>
      <c r="D281" s="33">
        <f>IF(Pay_Num&lt;&gt;"",Scheduled_Monthly_Payment,"")</f>
        <v>26333.835431927764</v>
      </c>
      <c r="E281" s="34">
        <f>IF(AND(Pay_Num&lt;&gt;"",Sched_Pay+Scheduled_Extra_Payments&lt;Beg_Bal),Scheduled_Extra_Payments,IF(AND(Pay_Num&lt;&gt;"",Beg_Bal-Sched_Pay&gt;0),Beg_Bal-Sched_Pay,IF(Pay_Num&lt;&gt;"",0,"")))</f>
        <v>0</v>
      </c>
      <c r="F281" s="33">
        <f>IF(AND(Pay_Num&lt;&gt;"",Sched_Pay+Extra_Pay&lt;Beg_Bal),Sched_Pay+Extra_Pay,IF(Pay_Num&lt;&gt;"",Beg_Bal,""))</f>
        <v>0</v>
      </c>
      <c r="G281" s="33">
        <f>IF(Pay_Num&lt;&gt;"",Total_Pay-Int,"")</f>
        <v>0</v>
      </c>
      <c r="H281" s="33">
        <f>IF(Pay_Num&lt;&gt;"",Beg_Bal*Interest_Rate/Num_Pmt_Per_Year,"")</f>
        <v>0</v>
      </c>
      <c r="I281" s="33">
        <f>IF(AND(Pay_Num&lt;&gt;"",Sched_Pay+Extra_Pay&lt;Beg_Bal),Beg_Bal-Princ,IF(Pay_Num&lt;&gt;"",0,""))</f>
        <v>0</v>
      </c>
      <c r="J281" s="33">
        <f>SUM($H$18:$H281)</f>
        <v>264024.10073253291</v>
      </c>
    </row>
    <row r="282" spans="1:10" x14ac:dyDescent="0.3">
      <c r="A282" s="36">
        <f>IF(Values_Entered,A281+1,"")</f>
        <v>265</v>
      </c>
      <c r="B282" s="35">
        <f>IF(Pay_Num&lt;&gt;"",DATE(YEAR(Loan_Start),MONTH(Loan_Start)+(Pay_Num)*12/Num_Pmt_Per_Year,DAY(Loan_Start)),"")</f>
        <v>53448</v>
      </c>
      <c r="C282" s="33">
        <f>IF(Pay_Num&lt;&gt;"",I281,"")</f>
        <v>0</v>
      </c>
      <c r="D282" s="33">
        <f>IF(Pay_Num&lt;&gt;"",Scheduled_Monthly_Payment,"")</f>
        <v>26333.835431927764</v>
      </c>
      <c r="E282" s="34">
        <f>IF(AND(Pay_Num&lt;&gt;"",Sched_Pay+Scheduled_Extra_Payments&lt;Beg_Bal),Scheduled_Extra_Payments,IF(AND(Pay_Num&lt;&gt;"",Beg_Bal-Sched_Pay&gt;0),Beg_Bal-Sched_Pay,IF(Pay_Num&lt;&gt;"",0,"")))</f>
        <v>0</v>
      </c>
      <c r="F282" s="33">
        <f>IF(AND(Pay_Num&lt;&gt;"",Sched_Pay+Extra_Pay&lt;Beg_Bal),Sched_Pay+Extra_Pay,IF(Pay_Num&lt;&gt;"",Beg_Bal,""))</f>
        <v>0</v>
      </c>
      <c r="G282" s="33">
        <f>IF(Pay_Num&lt;&gt;"",Total_Pay-Int,"")</f>
        <v>0</v>
      </c>
      <c r="H282" s="33">
        <f>IF(Pay_Num&lt;&gt;"",Beg_Bal*Interest_Rate/Num_Pmt_Per_Year,"")</f>
        <v>0</v>
      </c>
      <c r="I282" s="33">
        <f>IF(AND(Pay_Num&lt;&gt;"",Sched_Pay+Extra_Pay&lt;Beg_Bal),Beg_Bal-Princ,IF(Pay_Num&lt;&gt;"",0,""))</f>
        <v>0</v>
      </c>
      <c r="J282" s="33">
        <f>SUM($H$18:$H282)</f>
        <v>264024.10073253291</v>
      </c>
    </row>
    <row r="283" spans="1:10" x14ac:dyDescent="0.3">
      <c r="A283" s="36">
        <f>IF(Values_Entered,A282+1,"")</f>
        <v>266</v>
      </c>
      <c r="B283" s="35">
        <f>IF(Pay_Num&lt;&gt;"",DATE(YEAR(Loan_Start),MONTH(Loan_Start)+(Pay_Num)*12/Num_Pmt_Per_Year,DAY(Loan_Start)),"")</f>
        <v>53479</v>
      </c>
      <c r="C283" s="33">
        <f>IF(Pay_Num&lt;&gt;"",I282,"")</f>
        <v>0</v>
      </c>
      <c r="D283" s="33">
        <f>IF(Pay_Num&lt;&gt;"",Scheduled_Monthly_Payment,"")</f>
        <v>26333.835431927764</v>
      </c>
      <c r="E283" s="34">
        <f>IF(AND(Pay_Num&lt;&gt;"",Sched_Pay+Scheduled_Extra_Payments&lt;Beg_Bal),Scheduled_Extra_Payments,IF(AND(Pay_Num&lt;&gt;"",Beg_Bal-Sched_Pay&gt;0),Beg_Bal-Sched_Pay,IF(Pay_Num&lt;&gt;"",0,"")))</f>
        <v>0</v>
      </c>
      <c r="F283" s="33">
        <f>IF(AND(Pay_Num&lt;&gt;"",Sched_Pay+Extra_Pay&lt;Beg_Bal),Sched_Pay+Extra_Pay,IF(Pay_Num&lt;&gt;"",Beg_Bal,""))</f>
        <v>0</v>
      </c>
      <c r="G283" s="33">
        <f>IF(Pay_Num&lt;&gt;"",Total_Pay-Int,"")</f>
        <v>0</v>
      </c>
      <c r="H283" s="33">
        <f>IF(Pay_Num&lt;&gt;"",Beg_Bal*Interest_Rate/Num_Pmt_Per_Year,"")</f>
        <v>0</v>
      </c>
      <c r="I283" s="33">
        <f>IF(AND(Pay_Num&lt;&gt;"",Sched_Pay+Extra_Pay&lt;Beg_Bal),Beg_Bal-Princ,IF(Pay_Num&lt;&gt;"",0,""))</f>
        <v>0</v>
      </c>
      <c r="J283" s="33">
        <f>SUM($H$18:$H283)</f>
        <v>264024.10073253291</v>
      </c>
    </row>
    <row r="284" spans="1:10" x14ac:dyDescent="0.3">
      <c r="A284" s="36">
        <f>IF(Values_Entered,A283+1,"")</f>
        <v>267</v>
      </c>
      <c r="B284" s="35">
        <f>IF(Pay_Num&lt;&gt;"",DATE(YEAR(Loan_Start),MONTH(Loan_Start)+(Pay_Num)*12/Num_Pmt_Per_Year,DAY(Loan_Start)),"")</f>
        <v>53509</v>
      </c>
      <c r="C284" s="33">
        <f>IF(Pay_Num&lt;&gt;"",I283,"")</f>
        <v>0</v>
      </c>
      <c r="D284" s="33">
        <f>IF(Pay_Num&lt;&gt;"",Scheduled_Monthly_Payment,"")</f>
        <v>26333.835431927764</v>
      </c>
      <c r="E284" s="34">
        <f>IF(AND(Pay_Num&lt;&gt;"",Sched_Pay+Scheduled_Extra_Payments&lt;Beg_Bal),Scheduled_Extra_Payments,IF(AND(Pay_Num&lt;&gt;"",Beg_Bal-Sched_Pay&gt;0),Beg_Bal-Sched_Pay,IF(Pay_Num&lt;&gt;"",0,"")))</f>
        <v>0</v>
      </c>
      <c r="F284" s="33">
        <f>IF(AND(Pay_Num&lt;&gt;"",Sched_Pay+Extra_Pay&lt;Beg_Bal),Sched_Pay+Extra_Pay,IF(Pay_Num&lt;&gt;"",Beg_Bal,""))</f>
        <v>0</v>
      </c>
      <c r="G284" s="33">
        <f>IF(Pay_Num&lt;&gt;"",Total_Pay-Int,"")</f>
        <v>0</v>
      </c>
      <c r="H284" s="33">
        <f>IF(Pay_Num&lt;&gt;"",Beg_Bal*Interest_Rate/Num_Pmt_Per_Year,"")</f>
        <v>0</v>
      </c>
      <c r="I284" s="33">
        <f>IF(AND(Pay_Num&lt;&gt;"",Sched_Pay+Extra_Pay&lt;Beg_Bal),Beg_Bal-Princ,IF(Pay_Num&lt;&gt;"",0,""))</f>
        <v>0</v>
      </c>
      <c r="J284" s="33">
        <f>SUM($H$18:$H284)</f>
        <v>264024.10073253291</v>
      </c>
    </row>
    <row r="285" spans="1:10" x14ac:dyDescent="0.3">
      <c r="A285" s="36">
        <f>IF(Values_Entered,A284+1,"")</f>
        <v>268</v>
      </c>
      <c r="B285" s="35">
        <f>IF(Pay_Num&lt;&gt;"",DATE(YEAR(Loan_Start),MONTH(Loan_Start)+(Pay_Num)*12/Num_Pmt_Per_Year,DAY(Loan_Start)),"")</f>
        <v>53540</v>
      </c>
      <c r="C285" s="33">
        <f>IF(Pay_Num&lt;&gt;"",I284,"")</f>
        <v>0</v>
      </c>
      <c r="D285" s="33">
        <f>IF(Pay_Num&lt;&gt;"",Scheduled_Monthly_Payment,"")</f>
        <v>26333.835431927764</v>
      </c>
      <c r="E285" s="34">
        <f>IF(AND(Pay_Num&lt;&gt;"",Sched_Pay+Scheduled_Extra_Payments&lt;Beg_Bal),Scheduled_Extra_Payments,IF(AND(Pay_Num&lt;&gt;"",Beg_Bal-Sched_Pay&gt;0),Beg_Bal-Sched_Pay,IF(Pay_Num&lt;&gt;"",0,"")))</f>
        <v>0</v>
      </c>
      <c r="F285" s="33">
        <f>IF(AND(Pay_Num&lt;&gt;"",Sched_Pay+Extra_Pay&lt;Beg_Bal),Sched_Pay+Extra_Pay,IF(Pay_Num&lt;&gt;"",Beg_Bal,""))</f>
        <v>0</v>
      </c>
      <c r="G285" s="33">
        <f>IF(Pay_Num&lt;&gt;"",Total_Pay-Int,"")</f>
        <v>0</v>
      </c>
      <c r="H285" s="33">
        <f>IF(Pay_Num&lt;&gt;"",Beg_Bal*Interest_Rate/Num_Pmt_Per_Year,"")</f>
        <v>0</v>
      </c>
      <c r="I285" s="33">
        <f>IF(AND(Pay_Num&lt;&gt;"",Sched_Pay+Extra_Pay&lt;Beg_Bal),Beg_Bal-Princ,IF(Pay_Num&lt;&gt;"",0,""))</f>
        <v>0</v>
      </c>
      <c r="J285" s="33">
        <f>SUM($H$18:$H285)</f>
        <v>264024.10073253291</v>
      </c>
    </row>
    <row r="286" spans="1:10" x14ac:dyDescent="0.3">
      <c r="A286" s="36">
        <f>IF(Values_Entered,A285+1,"")</f>
        <v>269</v>
      </c>
      <c r="B286" s="35">
        <f>IF(Pay_Num&lt;&gt;"",DATE(YEAR(Loan_Start),MONTH(Loan_Start)+(Pay_Num)*12/Num_Pmt_Per_Year,DAY(Loan_Start)),"")</f>
        <v>53571</v>
      </c>
      <c r="C286" s="33">
        <f>IF(Pay_Num&lt;&gt;"",I285,"")</f>
        <v>0</v>
      </c>
      <c r="D286" s="33">
        <f>IF(Pay_Num&lt;&gt;"",Scheduled_Monthly_Payment,"")</f>
        <v>26333.835431927764</v>
      </c>
      <c r="E286" s="34">
        <f>IF(AND(Pay_Num&lt;&gt;"",Sched_Pay+Scheduled_Extra_Payments&lt;Beg_Bal),Scheduled_Extra_Payments,IF(AND(Pay_Num&lt;&gt;"",Beg_Bal-Sched_Pay&gt;0),Beg_Bal-Sched_Pay,IF(Pay_Num&lt;&gt;"",0,"")))</f>
        <v>0</v>
      </c>
      <c r="F286" s="33">
        <f>IF(AND(Pay_Num&lt;&gt;"",Sched_Pay+Extra_Pay&lt;Beg_Bal),Sched_Pay+Extra_Pay,IF(Pay_Num&lt;&gt;"",Beg_Bal,""))</f>
        <v>0</v>
      </c>
      <c r="G286" s="33">
        <f>IF(Pay_Num&lt;&gt;"",Total_Pay-Int,"")</f>
        <v>0</v>
      </c>
      <c r="H286" s="33">
        <f>IF(Pay_Num&lt;&gt;"",Beg_Bal*Interest_Rate/Num_Pmt_Per_Year,"")</f>
        <v>0</v>
      </c>
      <c r="I286" s="33">
        <f>IF(AND(Pay_Num&lt;&gt;"",Sched_Pay+Extra_Pay&lt;Beg_Bal),Beg_Bal-Princ,IF(Pay_Num&lt;&gt;"",0,""))</f>
        <v>0</v>
      </c>
      <c r="J286" s="33">
        <f>SUM($H$18:$H286)</f>
        <v>264024.10073253291</v>
      </c>
    </row>
    <row r="287" spans="1:10" x14ac:dyDescent="0.3">
      <c r="A287" s="36">
        <f>IF(Values_Entered,A286+1,"")</f>
        <v>270</v>
      </c>
      <c r="B287" s="35">
        <f>IF(Pay_Num&lt;&gt;"",DATE(YEAR(Loan_Start),MONTH(Loan_Start)+(Pay_Num)*12/Num_Pmt_Per_Year,DAY(Loan_Start)),"")</f>
        <v>53601</v>
      </c>
      <c r="C287" s="33">
        <f>IF(Pay_Num&lt;&gt;"",I286,"")</f>
        <v>0</v>
      </c>
      <c r="D287" s="33">
        <f>IF(Pay_Num&lt;&gt;"",Scheduled_Monthly_Payment,"")</f>
        <v>26333.835431927764</v>
      </c>
      <c r="E287" s="34">
        <f>IF(AND(Pay_Num&lt;&gt;"",Sched_Pay+Scheduled_Extra_Payments&lt;Beg_Bal),Scheduled_Extra_Payments,IF(AND(Pay_Num&lt;&gt;"",Beg_Bal-Sched_Pay&gt;0),Beg_Bal-Sched_Pay,IF(Pay_Num&lt;&gt;"",0,"")))</f>
        <v>0</v>
      </c>
      <c r="F287" s="33">
        <f>IF(AND(Pay_Num&lt;&gt;"",Sched_Pay+Extra_Pay&lt;Beg_Bal),Sched_Pay+Extra_Pay,IF(Pay_Num&lt;&gt;"",Beg_Bal,""))</f>
        <v>0</v>
      </c>
      <c r="G287" s="33">
        <f>IF(Pay_Num&lt;&gt;"",Total_Pay-Int,"")</f>
        <v>0</v>
      </c>
      <c r="H287" s="33">
        <f>IF(Pay_Num&lt;&gt;"",Beg_Bal*Interest_Rate/Num_Pmt_Per_Year,"")</f>
        <v>0</v>
      </c>
      <c r="I287" s="33">
        <f>IF(AND(Pay_Num&lt;&gt;"",Sched_Pay+Extra_Pay&lt;Beg_Bal),Beg_Bal-Princ,IF(Pay_Num&lt;&gt;"",0,""))</f>
        <v>0</v>
      </c>
      <c r="J287" s="33">
        <f>SUM($H$18:$H287)</f>
        <v>264024.10073253291</v>
      </c>
    </row>
    <row r="288" spans="1:10" x14ac:dyDescent="0.3">
      <c r="A288" s="36">
        <f>IF(Values_Entered,A287+1,"")</f>
        <v>271</v>
      </c>
      <c r="B288" s="35">
        <f>IF(Pay_Num&lt;&gt;"",DATE(YEAR(Loan_Start),MONTH(Loan_Start)+(Pay_Num)*12/Num_Pmt_Per_Year,DAY(Loan_Start)),"")</f>
        <v>53632</v>
      </c>
      <c r="C288" s="33">
        <f>IF(Pay_Num&lt;&gt;"",I287,"")</f>
        <v>0</v>
      </c>
      <c r="D288" s="33">
        <f>IF(Pay_Num&lt;&gt;"",Scheduled_Monthly_Payment,"")</f>
        <v>26333.835431927764</v>
      </c>
      <c r="E288" s="34">
        <f>IF(AND(Pay_Num&lt;&gt;"",Sched_Pay+Scheduled_Extra_Payments&lt;Beg_Bal),Scheduled_Extra_Payments,IF(AND(Pay_Num&lt;&gt;"",Beg_Bal-Sched_Pay&gt;0),Beg_Bal-Sched_Pay,IF(Pay_Num&lt;&gt;"",0,"")))</f>
        <v>0</v>
      </c>
      <c r="F288" s="33">
        <f>IF(AND(Pay_Num&lt;&gt;"",Sched_Pay+Extra_Pay&lt;Beg_Bal),Sched_Pay+Extra_Pay,IF(Pay_Num&lt;&gt;"",Beg_Bal,""))</f>
        <v>0</v>
      </c>
      <c r="G288" s="33">
        <f>IF(Pay_Num&lt;&gt;"",Total_Pay-Int,"")</f>
        <v>0</v>
      </c>
      <c r="H288" s="33">
        <f>IF(Pay_Num&lt;&gt;"",Beg_Bal*Interest_Rate/Num_Pmt_Per_Year,"")</f>
        <v>0</v>
      </c>
      <c r="I288" s="33">
        <f>IF(AND(Pay_Num&lt;&gt;"",Sched_Pay+Extra_Pay&lt;Beg_Bal),Beg_Bal-Princ,IF(Pay_Num&lt;&gt;"",0,""))</f>
        <v>0</v>
      </c>
      <c r="J288" s="33">
        <f>SUM($H$18:$H288)</f>
        <v>264024.10073253291</v>
      </c>
    </row>
    <row r="289" spans="1:10" x14ac:dyDescent="0.3">
      <c r="A289" s="36">
        <f>IF(Values_Entered,A288+1,"")</f>
        <v>272</v>
      </c>
      <c r="B289" s="35">
        <f>IF(Pay_Num&lt;&gt;"",DATE(YEAR(Loan_Start),MONTH(Loan_Start)+(Pay_Num)*12/Num_Pmt_Per_Year,DAY(Loan_Start)),"")</f>
        <v>53662</v>
      </c>
      <c r="C289" s="33">
        <f>IF(Pay_Num&lt;&gt;"",I288,"")</f>
        <v>0</v>
      </c>
      <c r="D289" s="33">
        <f>IF(Pay_Num&lt;&gt;"",Scheduled_Monthly_Payment,"")</f>
        <v>26333.835431927764</v>
      </c>
      <c r="E289" s="34">
        <f>IF(AND(Pay_Num&lt;&gt;"",Sched_Pay+Scheduled_Extra_Payments&lt;Beg_Bal),Scheduled_Extra_Payments,IF(AND(Pay_Num&lt;&gt;"",Beg_Bal-Sched_Pay&gt;0),Beg_Bal-Sched_Pay,IF(Pay_Num&lt;&gt;"",0,"")))</f>
        <v>0</v>
      </c>
      <c r="F289" s="33">
        <f>IF(AND(Pay_Num&lt;&gt;"",Sched_Pay+Extra_Pay&lt;Beg_Bal),Sched_Pay+Extra_Pay,IF(Pay_Num&lt;&gt;"",Beg_Bal,""))</f>
        <v>0</v>
      </c>
      <c r="G289" s="33">
        <f>IF(Pay_Num&lt;&gt;"",Total_Pay-Int,"")</f>
        <v>0</v>
      </c>
      <c r="H289" s="33">
        <f>IF(Pay_Num&lt;&gt;"",Beg_Bal*Interest_Rate/Num_Pmt_Per_Year,"")</f>
        <v>0</v>
      </c>
      <c r="I289" s="33">
        <f>IF(AND(Pay_Num&lt;&gt;"",Sched_Pay+Extra_Pay&lt;Beg_Bal),Beg_Bal-Princ,IF(Pay_Num&lt;&gt;"",0,""))</f>
        <v>0</v>
      </c>
      <c r="J289" s="33">
        <f>SUM($H$18:$H289)</f>
        <v>264024.10073253291</v>
      </c>
    </row>
    <row r="290" spans="1:10" x14ac:dyDescent="0.3">
      <c r="A290" s="36">
        <f>IF(Values_Entered,A289+1,"")</f>
        <v>273</v>
      </c>
      <c r="B290" s="35">
        <f>IF(Pay_Num&lt;&gt;"",DATE(YEAR(Loan_Start),MONTH(Loan_Start)+(Pay_Num)*12/Num_Pmt_Per_Year,DAY(Loan_Start)),"")</f>
        <v>53693</v>
      </c>
      <c r="C290" s="33">
        <f>IF(Pay_Num&lt;&gt;"",I289,"")</f>
        <v>0</v>
      </c>
      <c r="D290" s="33">
        <f>IF(Pay_Num&lt;&gt;"",Scheduled_Monthly_Payment,"")</f>
        <v>26333.835431927764</v>
      </c>
      <c r="E290" s="34">
        <f>IF(AND(Pay_Num&lt;&gt;"",Sched_Pay+Scheduled_Extra_Payments&lt;Beg_Bal),Scheduled_Extra_Payments,IF(AND(Pay_Num&lt;&gt;"",Beg_Bal-Sched_Pay&gt;0),Beg_Bal-Sched_Pay,IF(Pay_Num&lt;&gt;"",0,"")))</f>
        <v>0</v>
      </c>
      <c r="F290" s="33">
        <f>IF(AND(Pay_Num&lt;&gt;"",Sched_Pay+Extra_Pay&lt;Beg_Bal),Sched_Pay+Extra_Pay,IF(Pay_Num&lt;&gt;"",Beg_Bal,""))</f>
        <v>0</v>
      </c>
      <c r="G290" s="33">
        <f>IF(Pay_Num&lt;&gt;"",Total_Pay-Int,"")</f>
        <v>0</v>
      </c>
      <c r="H290" s="33">
        <f>IF(Pay_Num&lt;&gt;"",Beg_Bal*Interest_Rate/Num_Pmt_Per_Year,"")</f>
        <v>0</v>
      </c>
      <c r="I290" s="33">
        <f>IF(AND(Pay_Num&lt;&gt;"",Sched_Pay+Extra_Pay&lt;Beg_Bal),Beg_Bal-Princ,IF(Pay_Num&lt;&gt;"",0,""))</f>
        <v>0</v>
      </c>
      <c r="J290" s="33">
        <f>SUM($H$18:$H290)</f>
        <v>264024.10073253291</v>
      </c>
    </row>
    <row r="291" spans="1:10" x14ac:dyDescent="0.3">
      <c r="A291" s="36">
        <f>IF(Values_Entered,A290+1,"")</f>
        <v>274</v>
      </c>
      <c r="B291" s="35">
        <f>IF(Pay_Num&lt;&gt;"",DATE(YEAR(Loan_Start),MONTH(Loan_Start)+(Pay_Num)*12/Num_Pmt_Per_Year,DAY(Loan_Start)),"")</f>
        <v>53724</v>
      </c>
      <c r="C291" s="33">
        <f>IF(Pay_Num&lt;&gt;"",I290,"")</f>
        <v>0</v>
      </c>
      <c r="D291" s="33">
        <f>IF(Pay_Num&lt;&gt;"",Scheduled_Monthly_Payment,"")</f>
        <v>26333.835431927764</v>
      </c>
      <c r="E291" s="34">
        <f>IF(AND(Pay_Num&lt;&gt;"",Sched_Pay+Scheduled_Extra_Payments&lt;Beg_Bal),Scheduled_Extra_Payments,IF(AND(Pay_Num&lt;&gt;"",Beg_Bal-Sched_Pay&gt;0),Beg_Bal-Sched_Pay,IF(Pay_Num&lt;&gt;"",0,"")))</f>
        <v>0</v>
      </c>
      <c r="F291" s="33">
        <f>IF(AND(Pay_Num&lt;&gt;"",Sched_Pay+Extra_Pay&lt;Beg_Bal),Sched_Pay+Extra_Pay,IF(Pay_Num&lt;&gt;"",Beg_Bal,""))</f>
        <v>0</v>
      </c>
      <c r="G291" s="33">
        <f>IF(Pay_Num&lt;&gt;"",Total_Pay-Int,"")</f>
        <v>0</v>
      </c>
      <c r="H291" s="33">
        <f>IF(Pay_Num&lt;&gt;"",Beg_Bal*Interest_Rate/Num_Pmt_Per_Year,"")</f>
        <v>0</v>
      </c>
      <c r="I291" s="33">
        <f>IF(AND(Pay_Num&lt;&gt;"",Sched_Pay+Extra_Pay&lt;Beg_Bal),Beg_Bal-Princ,IF(Pay_Num&lt;&gt;"",0,""))</f>
        <v>0</v>
      </c>
      <c r="J291" s="33">
        <f>SUM($H$18:$H291)</f>
        <v>264024.10073253291</v>
      </c>
    </row>
    <row r="292" spans="1:10" x14ac:dyDescent="0.3">
      <c r="A292" s="36">
        <f>IF(Values_Entered,A291+1,"")</f>
        <v>275</v>
      </c>
      <c r="B292" s="35">
        <f>IF(Pay_Num&lt;&gt;"",DATE(YEAR(Loan_Start),MONTH(Loan_Start)+(Pay_Num)*12/Num_Pmt_Per_Year,DAY(Loan_Start)),"")</f>
        <v>53752</v>
      </c>
      <c r="C292" s="33">
        <f>IF(Pay_Num&lt;&gt;"",I291,"")</f>
        <v>0</v>
      </c>
      <c r="D292" s="33">
        <f>IF(Pay_Num&lt;&gt;"",Scheduled_Monthly_Payment,"")</f>
        <v>26333.835431927764</v>
      </c>
      <c r="E292" s="34">
        <f>IF(AND(Pay_Num&lt;&gt;"",Sched_Pay+Scheduled_Extra_Payments&lt;Beg_Bal),Scheduled_Extra_Payments,IF(AND(Pay_Num&lt;&gt;"",Beg_Bal-Sched_Pay&gt;0),Beg_Bal-Sched_Pay,IF(Pay_Num&lt;&gt;"",0,"")))</f>
        <v>0</v>
      </c>
      <c r="F292" s="33">
        <f>IF(AND(Pay_Num&lt;&gt;"",Sched_Pay+Extra_Pay&lt;Beg_Bal),Sched_Pay+Extra_Pay,IF(Pay_Num&lt;&gt;"",Beg_Bal,""))</f>
        <v>0</v>
      </c>
      <c r="G292" s="33">
        <f>IF(Pay_Num&lt;&gt;"",Total_Pay-Int,"")</f>
        <v>0</v>
      </c>
      <c r="H292" s="33">
        <f>IF(Pay_Num&lt;&gt;"",Beg_Bal*Interest_Rate/Num_Pmt_Per_Year,"")</f>
        <v>0</v>
      </c>
      <c r="I292" s="33">
        <f>IF(AND(Pay_Num&lt;&gt;"",Sched_Pay+Extra_Pay&lt;Beg_Bal),Beg_Bal-Princ,IF(Pay_Num&lt;&gt;"",0,""))</f>
        <v>0</v>
      </c>
      <c r="J292" s="33">
        <f>SUM($H$18:$H292)</f>
        <v>264024.10073253291</v>
      </c>
    </row>
    <row r="293" spans="1:10" x14ac:dyDescent="0.3">
      <c r="A293" s="36">
        <f>IF(Values_Entered,A292+1,"")</f>
        <v>276</v>
      </c>
      <c r="B293" s="35">
        <f>IF(Pay_Num&lt;&gt;"",DATE(YEAR(Loan_Start),MONTH(Loan_Start)+(Pay_Num)*12/Num_Pmt_Per_Year,DAY(Loan_Start)),"")</f>
        <v>53783</v>
      </c>
      <c r="C293" s="33">
        <f>IF(Pay_Num&lt;&gt;"",I292,"")</f>
        <v>0</v>
      </c>
      <c r="D293" s="33">
        <f>IF(Pay_Num&lt;&gt;"",Scheduled_Monthly_Payment,"")</f>
        <v>26333.835431927764</v>
      </c>
      <c r="E293" s="34">
        <f>IF(AND(Pay_Num&lt;&gt;"",Sched_Pay+Scheduled_Extra_Payments&lt;Beg_Bal),Scheduled_Extra_Payments,IF(AND(Pay_Num&lt;&gt;"",Beg_Bal-Sched_Pay&gt;0),Beg_Bal-Sched_Pay,IF(Pay_Num&lt;&gt;"",0,"")))</f>
        <v>0</v>
      </c>
      <c r="F293" s="33">
        <f>IF(AND(Pay_Num&lt;&gt;"",Sched_Pay+Extra_Pay&lt;Beg_Bal),Sched_Pay+Extra_Pay,IF(Pay_Num&lt;&gt;"",Beg_Bal,""))</f>
        <v>0</v>
      </c>
      <c r="G293" s="33">
        <f>IF(Pay_Num&lt;&gt;"",Total_Pay-Int,"")</f>
        <v>0</v>
      </c>
      <c r="H293" s="33">
        <f>IF(Pay_Num&lt;&gt;"",Beg_Bal*Interest_Rate/Num_Pmt_Per_Year,"")</f>
        <v>0</v>
      </c>
      <c r="I293" s="33">
        <f>IF(AND(Pay_Num&lt;&gt;"",Sched_Pay+Extra_Pay&lt;Beg_Bal),Beg_Bal-Princ,IF(Pay_Num&lt;&gt;"",0,""))</f>
        <v>0</v>
      </c>
      <c r="J293" s="33">
        <f>SUM($H$18:$H293)</f>
        <v>264024.10073253291</v>
      </c>
    </row>
    <row r="294" spans="1:10" x14ac:dyDescent="0.3">
      <c r="A294" s="36">
        <f>IF(Values_Entered,A293+1,"")</f>
        <v>277</v>
      </c>
      <c r="B294" s="35">
        <f>IF(Pay_Num&lt;&gt;"",DATE(YEAR(Loan_Start),MONTH(Loan_Start)+(Pay_Num)*12/Num_Pmt_Per_Year,DAY(Loan_Start)),"")</f>
        <v>53813</v>
      </c>
      <c r="C294" s="33">
        <f>IF(Pay_Num&lt;&gt;"",I293,"")</f>
        <v>0</v>
      </c>
      <c r="D294" s="33">
        <f>IF(Pay_Num&lt;&gt;"",Scheduled_Monthly_Payment,"")</f>
        <v>26333.835431927764</v>
      </c>
      <c r="E294" s="34">
        <f>IF(AND(Pay_Num&lt;&gt;"",Sched_Pay+Scheduled_Extra_Payments&lt;Beg_Bal),Scheduled_Extra_Payments,IF(AND(Pay_Num&lt;&gt;"",Beg_Bal-Sched_Pay&gt;0),Beg_Bal-Sched_Pay,IF(Pay_Num&lt;&gt;"",0,"")))</f>
        <v>0</v>
      </c>
      <c r="F294" s="33">
        <f>IF(AND(Pay_Num&lt;&gt;"",Sched_Pay+Extra_Pay&lt;Beg_Bal),Sched_Pay+Extra_Pay,IF(Pay_Num&lt;&gt;"",Beg_Bal,""))</f>
        <v>0</v>
      </c>
      <c r="G294" s="33">
        <f>IF(Pay_Num&lt;&gt;"",Total_Pay-Int,"")</f>
        <v>0</v>
      </c>
      <c r="H294" s="33">
        <f>IF(Pay_Num&lt;&gt;"",Beg_Bal*Interest_Rate/Num_Pmt_Per_Year,"")</f>
        <v>0</v>
      </c>
      <c r="I294" s="33">
        <f>IF(AND(Pay_Num&lt;&gt;"",Sched_Pay+Extra_Pay&lt;Beg_Bal),Beg_Bal-Princ,IF(Pay_Num&lt;&gt;"",0,""))</f>
        <v>0</v>
      </c>
      <c r="J294" s="33">
        <f>SUM($H$18:$H294)</f>
        <v>264024.10073253291</v>
      </c>
    </row>
    <row r="295" spans="1:10" x14ac:dyDescent="0.3">
      <c r="A295" s="36">
        <f>IF(Values_Entered,A294+1,"")</f>
        <v>278</v>
      </c>
      <c r="B295" s="35">
        <f>IF(Pay_Num&lt;&gt;"",DATE(YEAR(Loan_Start),MONTH(Loan_Start)+(Pay_Num)*12/Num_Pmt_Per_Year,DAY(Loan_Start)),"")</f>
        <v>53844</v>
      </c>
      <c r="C295" s="33">
        <f>IF(Pay_Num&lt;&gt;"",I294,"")</f>
        <v>0</v>
      </c>
      <c r="D295" s="33">
        <f>IF(Pay_Num&lt;&gt;"",Scheduled_Monthly_Payment,"")</f>
        <v>26333.835431927764</v>
      </c>
      <c r="E295" s="34">
        <f>IF(AND(Pay_Num&lt;&gt;"",Sched_Pay+Scheduled_Extra_Payments&lt;Beg_Bal),Scheduled_Extra_Payments,IF(AND(Pay_Num&lt;&gt;"",Beg_Bal-Sched_Pay&gt;0),Beg_Bal-Sched_Pay,IF(Pay_Num&lt;&gt;"",0,"")))</f>
        <v>0</v>
      </c>
      <c r="F295" s="33">
        <f>IF(AND(Pay_Num&lt;&gt;"",Sched_Pay+Extra_Pay&lt;Beg_Bal),Sched_Pay+Extra_Pay,IF(Pay_Num&lt;&gt;"",Beg_Bal,""))</f>
        <v>0</v>
      </c>
      <c r="G295" s="33">
        <f>IF(Pay_Num&lt;&gt;"",Total_Pay-Int,"")</f>
        <v>0</v>
      </c>
      <c r="H295" s="33">
        <f>IF(Pay_Num&lt;&gt;"",Beg_Bal*Interest_Rate/Num_Pmt_Per_Year,"")</f>
        <v>0</v>
      </c>
      <c r="I295" s="33">
        <f>IF(AND(Pay_Num&lt;&gt;"",Sched_Pay+Extra_Pay&lt;Beg_Bal),Beg_Bal-Princ,IF(Pay_Num&lt;&gt;"",0,""))</f>
        <v>0</v>
      </c>
      <c r="J295" s="33">
        <f>SUM($H$18:$H295)</f>
        <v>264024.10073253291</v>
      </c>
    </row>
    <row r="296" spans="1:10" x14ac:dyDescent="0.3">
      <c r="A296" s="36">
        <f>IF(Values_Entered,A295+1,"")</f>
        <v>279</v>
      </c>
      <c r="B296" s="35">
        <f>IF(Pay_Num&lt;&gt;"",DATE(YEAR(Loan_Start),MONTH(Loan_Start)+(Pay_Num)*12/Num_Pmt_Per_Year,DAY(Loan_Start)),"")</f>
        <v>53874</v>
      </c>
      <c r="C296" s="33">
        <f>IF(Pay_Num&lt;&gt;"",I295,"")</f>
        <v>0</v>
      </c>
      <c r="D296" s="33">
        <f>IF(Pay_Num&lt;&gt;"",Scheduled_Monthly_Payment,"")</f>
        <v>26333.835431927764</v>
      </c>
      <c r="E296" s="34">
        <f>IF(AND(Pay_Num&lt;&gt;"",Sched_Pay+Scheduled_Extra_Payments&lt;Beg_Bal),Scheduled_Extra_Payments,IF(AND(Pay_Num&lt;&gt;"",Beg_Bal-Sched_Pay&gt;0),Beg_Bal-Sched_Pay,IF(Pay_Num&lt;&gt;"",0,"")))</f>
        <v>0</v>
      </c>
      <c r="F296" s="33">
        <f>IF(AND(Pay_Num&lt;&gt;"",Sched_Pay+Extra_Pay&lt;Beg_Bal),Sched_Pay+Extra_Pay,IF(Pay_Num&lt;&gt;"",Beg_Bal,""))</f>
        <v>0</v>
      </c>
      <c r="G296" s="33">
        <f>IF(Pay_Num&lt;&gt;"",Total_Pay-Int,"")</f>
        <v>0</v>
      </c>
      <c r="H296" s="33">
        <f>IF(Pay_Num&lt;&gt;"",Beg_Bal*Interest_Rate/Num_Pmt_Per_Year,"")</f>
        <v>0</v>
      </c>
      <c r="I296" s="33">
        <f>IF(AND(Pay_Num&lt;&gt;"",Sched_Pay+Extra_Pay&lt;Beg_Bal),Beg_Bal-Princ,IF(Pay_Num&lt;&gt;"",0,""))</f>
        <v>0</v>
      </c>
      <c r="J296" s="33">
        <f>SUM($H$18:$H296)</f>
        <v>264024.10073253291</v>
      </c>
    </row>
    <row r="297" spans="1:10" x14ac:dyDescent="0.3">
      <c r="A297" s="36">
        <f>IF(Values_Entered,A296+1,"")</f>
        <v>280</v>
      </c>
      <c r="B297" s="35">
        <f>IF(Pay_Num&lt;&gt;"",DATE(YEAR(Loan_Start),MONTH(Loan_Start)+(Pay_Num)*12/Num_Pmt_Per_Year,DAY(Loan_Start)),"")</f>
        <v>53905</v>
      </c>
      <c r="C297" s="33">
        <f>IF(Pay_Num&lt;&gt;"",I296,"")</f>
        <v>0</v>
      </c>
      <c r="D297" s="33">
        <f>IF(Pay_Num&lt;&gt;"",Scheduled_Monthly_Payment,"")</f>
        <v>26333.835431927764</v>
      </c>
      <c r="E297" s="34">
        <f>IF(AND(Pay_Num&lt;&gt;"",Sched_Pay+Scheduled_Extra_Payments&lt;Beg_Bal),Scheduled_Extra_Payments,IF(AND(Pay_Num&lt;&gt;"",Beg_Bal-Sched_Pay&gt;0),Beg_Bal-Sched_Pay,IF(Pay_Num&lt;&gt;"",0,"")))</f>
        <v>0</v>
      </c>
      <c r="F297" s="33">
        <f>IF(AND(Pay_Num&lt;&gt;"",Sched_Pay+Extra_Pay&lt;Beg_Bal),Sched_Pay+Extra_Pay,IF(Pay_Num&lt;&gt;"",Beg_Bal,""))</f>
        <v>0</v>
      </c>
      <c r="G297" s="33">
        <f>IF(Pay_Num&lt;&gt;"",Total_Pay-Int,"")</f>
        <v>0</v>
      </c>
      <c r="H297" s="33">
        <f>IF(Pay_Num&lt;&gt;"",Beg_Bal*Interest_Rate/Num_Pmt_Per_Year,"")</f>
        <v>0</v>
      </c>
      <c r="I297" s="33">
        <f>IF(AND(Pay_Num&lt;&gt;"",Sched_Pay+Extra_Pay&lt;Beg_Bal),Beg_Bal-Princ,IF(Pay_Num&lt;&gt;"",0,""))</f>
        <v>0</v>
      </c>
      <c r="J297" s="33">
        <f>SUM($H$18:$H297)</f>
        <v>264024.10073253291</v>
      </c>
    </row>
    <row r="298" spans="1:10" x14ac:dyDescent="0.3">
      <c r="A298" s="36">
        <f>IF(Values_Entered,A297+1,"")</f>
        <v>281</v>
      </c>
      <c r="B298" s="35">
        <f>IF(Pay_Num&lt;&gt;"",DATE(YEAR(Loan_Start),MONTH(Loan_Start)+(Pay_Num)*12/Num_Pmt_Per_Year,DAY(Loan_Start)),"")</f>
        <v>53936</v>
      </c>
      <c r="C298" s="33">
        <f>IF(Pay_Num&lt;&gt;"",I297,"")</f>
        <v>0</v>
      </c>
      <c r="D298" s="33">
        <f>IF(Pay_Num&lt;&gt;"",Scheduled_Monthly_Payment,"")</f>
        <v>26333.835431927764</v>
      </c>
      <c r="E298" s="34">
        <f>IF(AND(Pay_Num&lt;&gt;"",Sched_Pay+Scheduled_Extra_Payments&lt;Beg_Bal),Scheduled_Extra_Payments,IF(AND(Pay_Num&lt;&gt;"",Beg_Bal-Sched_Pay&gt;0),Beg_Bal-Sched_Pay,IF(Pay_Num&lt;&gt;"",0,"")))</f>
        <v>0</v>
      </c>
      <c r="F298" s="33">
        <f>IF(AND(Pay_Num&lt;&gt;"",Sched_Pay+Extra_Pay&lt;Beg_Bal),Sched_Pay+Extra_Pay,IF(Pay_Num&lt;&gt;"",Beg_Bal,""))</f>
        <v>0</v>
      </c>
      <c r="G298" s="33">
        <f>IF(Pay_Num&lt;&gt;"",Total_Pay-Int,"")</f>
        <v>0</v>
      </c>
      <c r="H298" s="33">
        <f>IF(Pay_Num&lt;&gt;"",Beg_Bal*Interest_Rate/Num_Pmt_Per_Year,"")</f>
        <v>0</v>
      </c>
      <c r="I298" s="33">
        <f>IF(AND(Pay_Num&lt;&gt;"",Sched_Pay+Extra_Pay&lt;Beg_Bal),Beg_Bal-Princ,IF(Pay_Num&lt;&gt;"",0,""))</f>
        <v>0</v>
      </c>
      <c r="J298" s="33">
        <f>SUM($H$18:$H298)</f>
        <v>264024.10073253291</v>
      </c>
    </row>
    <row r="299" spans="1:10" x14ac:dyDescent="0.3">
      <c r="A299" s="36">
        <f>IF(Values_Entered,A298+1,"")</f>
        <v>282</v>
      </c>
      <c r="B299" s="35">
        <f>IF(Pay_Num&lt;&gt;"",DATE(YEAR(Loan_Start),MONTH(Loan_Start)+(Pay_Num)*12/Num_Pmt_Per_Year,DAY(Loan_Start)),"")</f>
        <v>53966</v>
      </c>
      <c r="C299" s="33">
        <f>IF(Pay_Num&lt;&gt;"",I298,"")</f>
        <v>0</v>
      </c>
      <c r="D299" s="33">
        <f>IF(Pay_Num&lt;&gt;"",Scheduled_Monthly_Payment,"")</f>
        <v>26333.835431927764</v>
      </c>
      <c r="E299" s="34">
        <f>IF(AND(Pay_Num&lt;&gt;"",Sched_Pay+Scheduled_Extra_Payments&lt;Beg_Bal),Scheduled_Extra_Payments,IF(AND(Pay_Num&lt;&gt;"",Beg_Bal-Sched_Pay&gt;0),Beg_Bal-Sched_Pay,IF(Pay_Num&lt;&gt;"",0,"")))</f>
        <v>0</v>
      </c>
      <c r="F299" s="33">
        <f>IF(AND(Pay_Num&lt;&gt;"",Sched_Pay+Extra_Pay&lt;Beg_Bal),Sched_Pay+Extra_Pay,IF(Pay_Num&lt;&gt;"",Beg_Bal,""))</f>
        <v>0</v>
      </c>
      <c r="G299" s="33">
        <f>IF(Pay_Num&lt;&gt;"",Total_Pay-Int,"")</f>
        <v>0</v>
      </c>
      <c r="H299" s="33">
        <f>IF(Pay_Num&lt;&gt;"",Beg_Bal*Interest_Rate/Num_Pmt_Per_Year,"")</f>
        <v>0</v>
      </c>
      <c r="I299" s="33">
        <f>IF(AND(Pay_Num&lt;&gt;"",Sched_Pay+Extra_Pay&lt;Beg_Bal),Beg_Bal-Princ,IF(Pay_Num&lt;&gt;"",0,""))</f>
        <v>0</v>
      </c>
      <c r="J299" s="33">
        <f>SUM($H$18:$H299)</f>
        <v>264024.10073253291</v>
      </c>
    </row>
    <row r="300" spans="1:10" x14ac:dyDescent="0.3">
      <c r="A300" s="36">
        <f>IF(Values_Entered,A299+1,"")</f>
        <v>283</v>
      </c>
      <c r="B300" s="35">
        <f>IF(Pay_Num&lt;&gt;"",DATE(YEAR(Loan_Start),MONTH(Loan_Start)+(Pay_Num)*12/Num_Pmt_Per_Year,DAY(Loan_Start)),"")</f>
        <v>53997</v>
      </c>
      <c r="C300" s="33">
        <f>IF(Pay_Num&lt;&gt;"",I299,"")</f>
        <v>0</v>
      </c>
      <c r="D300" s="33">
        <f>IF(Pay_Num&lt;&gt;"",Scheduled_Monthly_Payment,"")</f>
        <v>26333.835431927764</v>
      </c>
      <c r="E300" s="34">
        <f>IF(AND(Pay_Num&lt;&gt;"",Sched_Pay+Scheduled_Extra_Payments&lt;Beg_Bal),Scheduled_Extra_Payments,IF(AND(Pay_Num&lt;&gt;"",Beg_Bal-Sched_Pay&gt;0),Beg_Bal-Sched_Pay,IF(Pay_Num&lt;&gt;"",0,"")))</f>
        <v>0</v>
      </c>
      <c r="F300" s="33">
        <f>IF(AND(Pay_Num&lt;&gt;"",Sched_Pay+Extra_Pay&lt;Beg_Bal),Sched_Pay+Extra_Pay,IF(Pay_Num&lt;&gt;"",Beg_Bal,""))</f>
        <v>0</v>
      </c>
      <c r="G300" s="33">
        <f>IF(Pay_Num&lt;&gt;"",Total_Pay-Int,"")</f>
        <v>0</v>
      </c>
      <c r="H300" s="33">
        <f>IF(Pay_Num&lt;&gt;"",Beg_Bal*Interest_Rate/Num_Pmt_Per_Year,"")</f>
        <v>0</v>
      </c>
      <c r="I300" s="33">
        <f>IF(AND(Pay_Num&lt;&gt;"",Sched_Pay+Extra_Pay&lt;Beg_Bal),Beg_Bal-Princ,IF(Pay_Num&lt;&gt;"",0,""))</f>
        <v>0</v>
      </c>
      <c r="J300" s="33">
        <f>SUM($H$18:$H300)</f>
        <v>264024.10073253291</v>
      </c>
    </row>
    <row r="301" spans="1:10" x14ac:dyDescent="0.3">
      <c r="A301" s="36">
        <f>IF(Values_Entered,A300+1,"")</f>
        <v>284</v>
      </c>
      <c r="B301" s="35">
        <f>IF(Pay_Num&lt;&gt;"",DATE(YEAR(Loan_Start),MONTH(Loan_Start)+(Pay_Num)*12/Num_Pmt_Per_Year,DAY(Loan_Start)),"")</f>
        <v>54027</v>
      </c>
      <c r="C301" s="33">
        <f>IF(Pay_Num&lt;&gt;"",I300,"")</f>
        <v>0</v>
      </c>
      <c r="D301" s="33">
        <f>IF(Pay_Num&lt;&gt;"",Scheduled_Monthly_Payment,"")</f>
        <v>26333.835431927764</v>
      </c>
      <c r="E301" s="34">
        <f>IF(AND(Pay_Num&lt;&gt;"",Sched_Pay+Scheduled_Extra_Payments&lt;Beg_Bal),Scheduled_Extra_Payments,IF(AND(Pay_Num&lt;&gt;"",Beg_Bal-Sched_Pay&gt;0),Beg_Bal-Sched_Pay,IF(Pay_Num&lt;&gt;"",0,"")))</f>
        <v>0</v>
      </c>
      <c r="F301" s="33">
        <f>IF(AND(Pay_Num&lt;&gt;"",Sched_Pay+Extra_Pay&lt;Beg_Bal),Sched_Pay+Extra_Pay,IF(Pay_Num&lt;&gt;"",Beg_Bal,""))</f>
        <v>0</v>
      </c>
      <c r="G301" s="33">
        <f>IF(Pay_Num&lt;&gt;"",Total_Pay-Int,"")</f>
        <v>0</v>
      </c>
      <c r="H301" s="33">
        <f>IF(Pay_Num&lt;&gt;"",Beg_Bal*Interest_Rate/Num_Pmt_Per_Year,"")</f>
        <v>0</v>
      </c>
      <c r="I301" s="33">
        <f>IF(AND(Pay_Num&lt;&gt;"",Sched_Pay+Extra_Pay&lt;Beg_Bal),Beg_Bal-Princ,IF(Pay_Num&lt;&gt;"",0,""))</f>
        <v>0</v>
      </c>
      <c r="J301" s="33">
        <f>SUM($H$18:$H301)</f>
        <v>264024.10073253291</v>
      </c>
    </row>
    <row r="302" spans="1:10" x14ac:dyDescent="0.3">
      <c r="A302" s="36">
        <f>IF(Values_Entered,A301+1,"")</f>
        <v>285</v>
      </c>
      <c r="B302" s="35">
        <f>IF(Pay_Num&lt;&gt;"",DATE(YEAR(Loan_Start),MONTH(Loan_Start)+(Pay_Num)*12/Num_Pmt_Per_Year,DAY(Loan_Start)),"")</f>
        <v>54058</v>
      </c>
      <c r="C302" s="33">
        <f>IF(Pay_Num&lt;&gt;"",I301,"")</f>
        <v>0</v>
      </c>
      <c r="D302" s="33">
        <f>IF(Pay_Num&lt;&gt;"",Scheduled_Monthly_Payment,"")</f>
        <v>26333.835431927764</v>
      </c>
      <c r="E302" s="34">
        <f>IF(AND(Pay_Num&lt;&gt;"",Sched_Pay+Scheduled_Extra_Payments&lt;Beg_Bal),Scheduled_Extra_Payments,IF(AND(Pay_Num&lt;&gt;"",Beg_Bal-Sched_Pay&gt;0),Beg_Bal-Sched_Pay,IF(Pay_Num&lt;&gt;"",0,"")))</f>
        <v>0</v>
      </c>
      <c r="F302" s="33">
        <f>IF(AND(Pay_Num&lt;&gt;"",Sched_Pay+Extra_Pay&lt;Beg_Bal),Sched_Pay+Extra_Pay,IF(Pay_Num&lt;&gt;"",Beg_Bal,""))</f>
        <v>0</v>
      </c>
      <c r="G302" s="33">
        <f>IF(Pay_Num&lt;&gt;"",Total_Pay-Int,"")</f>
        <v>0</v>
      </c>
      <c r="H302" s="33">
        <f>IF(Pay_Num&lt;&gt;"",Beg_Bal*Interest_Rate/Num_Pmt_Per_Year,"")</f>
        <v>0</v>
      </c>
      <c r="I302" s="33">
        <f>IF(AND(Pay_Num&lt;&gt;"",Sched_Pay+Extra_Pay&lt;Beg_Bal),Beg_Bal-Princ,IF(Pay_Num&lt;&gt;"",0,""))</f>
        <v>0</v>
      </c>
      <c r="J302" s="33">
        <f>SUM($H$18:$H302)</f>
        <v>264024.10073253291</v>
      </c>
    </row>
    <row r="303" spans="1:10" x14ac:dyDescent="0.3">
      <c r="A303" s="36">
        <f>IF(Values_Entered,A302+1,"")</f>
        <v>286</v>
      </c>
      <c r="B303" s="35">
        <f>IF(Pay_Num&lt;&gt;"",DATE(YEAR(Loan_Start),MONTH(Loan_Start)+(Pay_Num)*12/Num_Pmt_Per_Year,DAY(Loan_Start)),"")</f>
        <v>54089</v>
      </c>
      <c r="C303" s="33">
        <f>IF(Pay_Num&lt;&gt;"",I302,"")</f>
        <v>0</v>
      </c>
      <c r="D303" s="33">
        <f>IF(Pay_Num&lt;&gt;"",Scheduled_Monthly_Payment,"")</f>
        <v>26333.835431927764</v>
      </c>
      <c r="E303" s="34">
        <f>IF(AND(Pay_Num&lt;&gt;"",Sched_Pay+Scheduled_Extra_Payments&lt;Beg_Bal),Scheduled_Extra_Payments,IF(AND(Pay_Num&lt;&gt;"",Beg_Bal-Sched_Pay&gt;0),Beg_Bal-Sched_Pay,IF(Pay_Num&lt;&gt;"",0,"")))</f>
        <v>0</v>
      </c>
      <c r="F303" s="33">
        <f>IF(AND(Pay_Num&lt;&gt;"",Sched_Pay+Extra_Pay&lt;Beg_Bal),Sched_Pay+Extra_Pay,IF(Pay_Num&lt;&gt;"",Beg_Bal,""))</f>
        <v>0</v>
      </c>
      <c r="G303" s="33">
        <f>IF(Pay_Num&lt;&gt;"",Total_Pay-Int,"")</f>
        <v>0</v>
      </c>
      <c r="H303" s="33">
        <f>IF(Pay_Num&lt;&gt;"",Beg_Bal*Interest_Rate/Num_Pmt_Per_Year,"")</f>
        <v>0</v>
      </c>
      <c r="I303" s="33">
        <f>IF(AND(Pay_Num&lt;&gt;"",Sched_Pay+Extra_Pay&lt;Beg_Bal),Beg_Bal-Princ,IF(Pay_Num&lt;&gt;"",0,""))</f>
        <v>0</v>
      </c>
      <c r="J303" s="33">
        <f>SUM($H$18:$H303)</f>
        <v>264024.10073253291</v>
      </c>
    </row>
    <row r="304" spans="1:10" x14ac:dyDescent="0.3">
      <c r="A304" s="36">
        <f>IF(Values_Entered,A303+1,"")</f>
        <v>287</v>
      </c>
      <c r="B304" s="35">
        <f>IF(Pay_Num&lt;&gt;"",DATE(YEAR(Loan_Start),MONTH(Loan_Start)+(Pay_Num)*12/Num_Pmt_Per_Year,DAY(Loan_Start)),"")</f>
        <v>54118</v>
      </c>
      <c r="C304" s="33">
        <f>IF(Pay_Num&lt;&gt;"",I303,"")</f>
        <v>0</v>
      </c>
      <c r="D304" s="33">
        <f>IF(Pay_Num&lt;&gt;"",Scheduled_Monthly_Payment,"")</f>
        <v>26333.835431927764</v>
      </c>
      <c r="E304" s="34">
        <f>IF(AND(Pay_Num&lt;&gt;"",Sched_Pay+Scheduled_Extra_Payments&lt;Beg_Bal),Scheduled_Extra_Payments,IF(AND(Pay_Num&lt;&gt;"",Beg_Bal-Sched_Pay&gt;0),Beg_Bal-Sched_Pay,IF(Pay_Num&lt;&gt;"",0,"")))</f>
        <v>0</v>
      </c>
      <c r="F304" s="33">
        <f>IF(AND(Pay_Num&lt;&gt;"",Sched_Pay+Extra_Pay&lt;Beg_Bal),Sched_Pay+Extra_Pay,IF(Pay_Num&lt;&gt;"",Beg_Bal,""))</f>
        <v>0</v>
      </c>
      <c r="G304" s="33">
        <f>IF(Pay_Num&lt;&gt;"",Total_Pay-Int,"")</f>
        <v>0</v>
      </c>
      <c r="H304" s="33">
        <f>IF(Pay_Num&lt;&gt;"",Beg_Bal*Interest_Rate/Num_Pmt_Per_Year,"")</f>
        <v>0</v>
      </c>
      <c r="I304" s="33">
        <f>IF(AND(Pay_Num&lt;&gt;"",Sched_Pay+Extra_Pay&lt;Beg_Bal),Beg_Bal-Princ,IF(Pay_Num&lt;&gt;"",0,""))</f>
        <v>0</v>
      </c>
      <c r="J304" s="33">
        <f>SUM($H$18:$H304)</f>
        <v>264024.10073253291</v>
      </c>
    </row>
    <row r="305" spans="1:10" x14ac:dyDescent="0.3">
      <c r="A305" s="36">
        <f>IF(Values_Entered,A304+1,"")</f>
        <v>288</v>
      </c>
      <c r="B305" s="35">
        <f>IF(Pay_Num&lt;&gt;"",DATE(YEAR(Loan_Start),MONTH(Loan_Start)+(Pay_Num)*12/Num_Pmt_Per_Year,DAY(Loan_Start)),"")</f>
        <v>54149</v>
      </c>
      <c r="C305" s="33">
        <f>IF(Pay_Num&lt;&gt;"",I304,"")</f>
        <v>0</v>
      </c>
      <c r="D305" s="33">
        <f>IF(Pay_Num&lt;&gt;"",Scheduled_Monthly_Payment,"")</f>
        <v>26333.835431927764</v>
      </c>
      <c r="E305" s="34">
        <f>IF(AND(Pay_Num&lt;&gt;"",Sched_Pay+Scheduled_Extra_Payments&lt;Beg_Bal),Scheduled_Extra_Payments,IF(AND(Pay_Num&lt;&gt;"",Beg_Bal-Sched_Pay&gt;0),Beg_Bal-Sched_Pay,IF(Pay_Num&lt;&gt;"",0,"")))</f>
        <v>0</v>
      </c>
      <c r="F305" s="33">
        <f>IF(AND(Pay_Num&lt;&gt;"",Sched_Pay+Extra_Pay&lt;Beg_Bal),Sched_Pay+Extra_Pay,IF(Pay_Num&lt;&gt;"",Beg_Bal,""))</f>
        <v>0</v>
      </c>
      <c r="G305" s="33">
        <f>IF(Pay_Num&lt;&gt;"",Total_Pay-Int,"")</f>
        <v>0</v>
      </c>
      <c r="H305" s="33">
        <f>IF(Pay_Num&lt;&gt;"",Beg_Bal*Interest_Rate/Num_Pmt_Per_Year,"")</f>
        <v>0</v>
      </c>
      <c r="I305" s="33">
        <f>IF(AND(Pay_Num&lt;&gt;"",Sched_Pay+Extra_Pay&lt;Beg_Bal),Beg_Bal-Princ,IF(Pay_Num&lt;&gt;"",0,""))</f>
        <v>0</v>
      </c>
      <c r="J305" s="33">
        <f>SUM($H$18:$H305)</f>
        <v>264024.10073253291</v>
      </c>
    </row>
    <row r="306" spans="1:10" x14ac:dyDescent="0.3">
      <c r="A306" s="36">
        <f>IF(Values_Entered,A305+1,"")</f>
        <v>289</v>
      </c>
      <c r="B306" s="35">
        <f>IF(Pay_Num&lt;&gt;"",DATE(YEAR(Loan_Start),MONTH(Loan_Start)+(Pay_Num)*12/Num_Pmt_Per_Year,DAY(Loan_Start)),"")</f>
        <v>54179</v>
      </c>
      <c r="C306" s="33">
        <f>IF(Pay_Num&lt;&gt;"",I305,"")</f>
        <v>0</v>
      </c>
      <c r="D306" s="33">
        <f>IF(Pay_Num&lt;&gt;"",Scheduled_Monthly_Payment,"")</f>
        <v>26333.835431927764</v>
      </c>
      <c r="E306" s="34">
        <f>IF(AND(Pay_Num&lt;&gt;"",Sched_Pay+Scheduled_Extra_Payments&lt;Beg_Bal),Scheduled_Extra_Payments,IF(AND(Pay_Num&lt;&gt;"",Beg_Bal-Sched_Pay&gt;0),Beg_Bal-Sched_Pay,IF(Pay_Num&lt;&gt;"",0,"")))</f>
        <v>0</v>
      </c>
      <c r="F306" s="33">
        <f>IF(AND(Pay_Num&lt;&gt;"",Sched_Pay+Extra_Pay&lt;Beg_Bal),Sched_Pay+Extra_Pay,IF(Pay_Num&lt;&gt;"",Beg_Bal,""))</f>
        <v>0</v>
      </c>
      <c r="G306" s="33">
        <f>IF(Pay_Num&lt;&gt;"",Total_Pay-Int,"")</f>
        <v>0</v>
      </c>
      <c r="H306" s="33">
        <f>IF(Pay_Num&lt;&gt;"",Beg_Bal*Interest_Rate/Num_Pmt_Per_Year,"")</f>
        <v>0</v>
      </c>
      <c r="I306" s="33">
        <f>IF(AND(Pay_Num&lt;&gt;"",Sched_Pay+Extra_Pay&lt;Beg_Bal),Beg_Bal-Princ,IF(Pay_Num&lt;&gt;"",0,""))</f>
        <v>0</v>
      </c>
      <c r="J306" s="33">
        <f>SUM($H$18:$H306)</f>
        <v>264024.10073253291</v>
      </c>
    </row>
    <row r="307" spans="1:10" x14ac:dyDescent="0.3">
      <c r="A307" s="36">
        <f>IF(Values_Entered,A306+1,"")</f>
        <v>290</v>
      </c>
      <c r="B307" s="35">
        <f>IF(Pay_Num&lt;&gt;"",DATE(YEAR(Loan_Start),MONTH(Loan_Start)+(Pay_Num)*12/Num_Pmt_Per_Year,DAY(Loan_Start)),"")</f>
        <v>54210</v>
      </c>
      <c r="C307" s="33">
        <f>IF(Pay_Num&lt;&gt;"",I306,"")</f>
        <v>0</v>
      </c>
      <c r="D307" s="33">
        <f>IF(Pay_Num&lt;&gt;"",Scheduled_Monthly_Payment,"")</f>
        <v>26333.835431927764</v>
      </c>
      <c r="E307" s="34">
        <f>IF(AND(Pay_Num&lt;&gt;"",Sched_Pay+Scheduled_Extra_Payments&lt;Beg_Bal),Scheduled_Extra_Payments,IF(AND(Pay_Num&lt;&gt;"",Beg_Bal-Sched_Pay&gt;0),Beg_Bal-Sched_Pay,IF(Pay_Num&lt;&gt;"",0,"")))</f>
        <v>0</v>
      </c>
      <c r="F307" s="33">
        <f>IF(AND(Pay_Num&lt;&gt;"",Sched_Pay+Extra_Pay&lt;Beg_Bal),Sched_Pay+Extra_Pay,IF(Pay_Num&lt;&gt;"",Beg_Bal,""))</f>
        <v>0</v>
      </c>
      <c r="G307" s="33">
        <f>IF(Pay_Num&lt;&gt;"",Total_Pay-Int,"")</f>
        <v>0</v>
      </c>
      <c r="H307" s="33">
        <f>IF(Pay_Num&lt;&gt;"",Beg_Bal*Interest_Rate/Num_Pmt_Per_Year,"")</f>
        <v>0</v>
      </c>
      <c r="I307" s="33">
        <f>IF(AND(Pay_Num&lt;&gt;"",Sched_Pay+Extra_Pay&lt;Beg_Bal),Beg_Bal-Princ,IF(Pay_Num&lt;&gt;"",0,""))</f>
        <v>0</v>
      </c>
      <c r="J307" s="33">
        <f>SUM($H$18:$H307)</f>
        <v>264024.10073253291</v>
      </c>
    </row>
    <row r="308" spans="1:10" x14ac:dyDescent="0.3">
      <c r="A308" s="36">
        <f>IF(Values_Entered,A307+1,"")</f>
        <v>291</v>
      </c>
      <c r="B308" s="35">
        <f>IF(Pay_Num&lt;&gt;"",DATE(YEAR(Loan_Start),MONTH(Loan_Start)+(Pay_Num)*12/Num_Pmt_Per_Year,DAY(Loan_Start)),"")</f>
        <v>54240</v>
      </c>
      <c r="C308" s="33">
        <f>IF(Pay_Num&lt;&gt;"",I307,"")</f>
        <v>0</v>
      </c>
      <c r="D308" s="33">
        <f>IF(Pay_Num&lt;&gt;"",Scheduled_Monthly_Payment,"")</f>
        <v>26333.835431927764</v>
      </c>
      <c r="E308" s="34">
        <f>IF(AND(Pay_Num&lt;&gt;"",Sched_Pay+Scheduled_Extra_Payments&lt;Beg_Bal),Scheduled_Extra_Payments,IF(AND(Pay_Num&lt;&gt;"",Beg_Bal-Sched_Pay&gt;0),Beg_Bal-Sched_Pay,IF(Pay_Num&lt;&gt;"",0,"")))</f>
        <v>0</v>
      </c>
      <c r="F308" s="33">
        <f>IF(AND(Pay_Num&lt;&gt;"",Sched_Pay+Extra_Pay&lt;Beg_Bal),Sched_Pay+Extra_Pay,IF(Pay_Num&lt;&gt;"",Beg_Bal,""))</f>
        <v>0</v>
      </c>
      <c r="G308" s="33">
        <f>IF(Pay_Num&lt;&gt;"",Total_Pay-Int,"")</f>
        <v>0</v>
      </c>
      <c r="H308" s="33">
        <f>IF(Pay_Num&lt;&gt;"",Beg_Bal*Interest_Rate/Num_Pmt_Per_Year,"")</f>
        <v>0</v>
      </c>
      <c r="I308" s="33">
        <f>IF(AND(Pay_Num&lt;&gt;"",Sched_Pay+Extra_Pay&lt;Beg_Bal),Beg_Bal-Princ,IF(Pay_Num&lt;&gt;"",0,""))</f>
        <v>0</v>
      </c>
      <c r="J308" s="33">
        <f>SUM($H$18:$H308)</f>
        <v>264024.10073253291</v>
      </c>
    </row>
    <row r="309" spans="1:10" x14ac:dyDescent="0.3">
      <c r="A309" s="36">
        <f>IF(Values_Entered,A308+1,"")</f>
        <v>292</v>
      </c>
      <c r="B309" s="35">
        <f>IF(Pay_Num&lt;&gt;"",DATE(YEAR(Loan_Start),MONTH(Loan_Start)+(Pay_Num)*12/Num_Pmt_Per_Year,DAY(Loan_Start)),"")</f>
        <v>54271</v>
      </c>
      <c r="C309" s="33">
        <f>IF(Pay_Num&lt;&gt;"",I308,"")</f>
        <v>0</v>
      </c>
      <c r="D309" s="33">
        <f>IF(Pay_Num&lt;&gt;"",Scheduled_Monthly_Payment,"")</f>
        <v>26333.835431927764</v>
      </c>
      <c r="E309" s="34">
        <f>IF(AND(Pay_Num&lt;&gt;"",Sched_Pay+Scheduled_Extra_Payments&lt;Beg_Bal),Scheduled_Extra_Payments,IF(AND(Pay_Num&lt;&gt;"",Beg_Bal-Sched_Pay&gt;0),Beg_Bal-Sched_Pay,IF(Pay_Num&lt;&gt;"",0,"")))</f>
        <v>0</v>
      </c>
      <c r="F309" s="33">
        <f>IF(AND(Pay_Num&lt;&gt;"",Sched_Pay+Extra_Pay&lt;Beg_Bal),Sched_Pay+Extra_Pay,IF(Pay_Num&lt;&gt;"",Beg_Bal,""))</f>
        <v>0</v>
      </c>
      <c r="G309" s="33">
        <f>IF(Pay_Num&lt;&gt;"",Total_Pay-Int,"")</f>
        <v>0</v>
      </c>
      <c r="H309" s="33">
        <f>IF(Pay_Num&lt;&gt;"",Beg_Bal*Interest_Rate/Num_Pmt_Per_Year,"")</f>
        <v>0</v>
      </c>
      <c r="I309" s="33">
        <f>IF(AND(Pay_Num&lt;&gt;"",Sched_Pay+Extra_Pay&lt;Beg_Bal),Beg_Bal-Princ,IF(Pay_Num&lt;&gt;"",0,""))</f>
        <v>0</v>
      </c>
      <c r="J309" s="33">
        <f>SUM($H$18:$H309)</f>
        <v>264024.10073253291</v>
      </c>
    </row>
    <row r="310" spans="1:10" x14ac:dyDescent="0.3">
      <c r="A310" s="36">
        <f>IF(Values_Entered,A309+1,"")</f>
        <v>293</v>
      </c>
      <c r="B310" s="35">
        <f>IF(Pay_Num&lt;&gt;"",DATE(YEAR(Loan_Start),MONTH(Loan_Start)+(Pay_Num)*12/Num_Pmt_Per_Year,DAY(Loan_Start)),"")</f>
        <v>54302</v>
      </c>
      <c r="C310" s="33">
        <f>IF(Pay_Num&lt;&gt;"",I309,"")</f>
        <v>0</v>
      </c>
      <c r="D310" s="33">
        <f>IF(Pay_Num&lt;&gt;"",Scheduled_Monthly_Payment,"")</f>
        <v>26333.835431927764</v>
      </c>
      <c r="E310" s="34">
        <f>IF(AND(Pay_Num&lt;&gt;"",Sched_Pay+Scheduled_Extra_Payments&lt;Beg_Bal),Scheduled_Extra_Payments,IF(AND(Pay_Num&lt;&gt;"",Beg_Bal-Sched_Pay&gt;0),Beg_Bal-Sched_Pay,IF(Pay_Num&lt;&gt;"",0,"")))</f>
        <v>0</v>
      </c>
      <c r="F310" s="33">
        <f>IF(AND(Pay_Num&lt;&gt;"",Sched_Pay+Extra_Pay&lt;Beg_Bal),Sched_Pay+Extra_Pay,IF(Pay_Num&lt;&gt;"",Beg_Bal,""))</f>
        <v>0</v>
      </c>
      <c r="G310" s="33">
        <f>IF(Pay_Num&lt;&gt;"",Total_Pay-Int,"")</f>
        <v>0</v>
      </c>
      <c r="H310" s="33">
        <f>IF(Pay_Num&lt;&gt;"",Beg_Bal*Interest_Rate/Num_Pmt_Per_Year,"")</f>
        <v>0</v>
      </c>
      <c r="I310" s="33">
        <f>IF(AND(Pay_Num&lt;&gt;"",Sched_Pay+Extra_Pay&lt;Beg_Bal),Beg_Bal-Princ,IF(Pay_Num&lt;&gt;"",0,""))</f>
        <v>0</v>
      </c>
      <c r="J310" s="33">
        <f>SUM($H$18:$H310)</f>
        <v>264024.10073253291</v>
      </c>
    </row>
    <row r="311" spans="1:10" x14ac:dyDescent="0.3">
      <c r="A311" s="36">
        <f>IF(Values_Entered,A310+1,"")</f>
        <v>294</v>
      </c>
      <c r="B311" s="35">
        <f>IF(Pay_Num&lt;&gt;"",DATE(YEAR(Loan_Start),MONTH(Loan_Start)+(Pay_Num)*12/Num_Pmt_Per_Year,DAY(Loan_Start)),"")</f>
        <v>54332</v>
      </c>
      <c r="C311" s="33">
        <f>IF(Pay_Num&lt;&gt;"",I310,"")</f>
        <v>0</v>
      </c>
      <c r="D311" s="33">
        <f>IF(Pay_Num&lt;&gt;"",Scheduled_Monthly_Payment,"")</f>
        <v>26333.835431927764</v>
      </c>
      <c r="E311" s="34">
        <f>IF(AND(Pay_Num&lt;&gt;"",Sched_Pay+Scheduled_Extra_Payments&lt;Beg_Bal),Scheduled_Extra_Payments,IF(AND(Pay_Num&lt;&gt;"",Beg_Bal-Sched_Pay&gt;0),Beg_Bal-Sched_Pay,IF(Pay_Num&lt;&gt;"",0,"")))</f>
        <v>0</v>
      </c>
      <c r="F311" s="33">
        <f>IF(AND(Pay_Num&lt;&gt;"",Sched_Pay+Extra_Pay&lt;Beg_Bal),Sched_Pay+Extra_Pay,IF(Pay_Num&lt;&gt;"",Beg_Bal,""))</f>
        <v>0</v>
      </c>
      <c r="G311" s="33">
        <f>IF(Pay_Num&lt;&gt;"",Total_Pay-Int,"")</f>
        <v>0</v>
      </c>
      <c r="H311" s="33">
        <f>IF(Pay_Num&lt;&gt;"",Beg_Bal*Interest_Rate/Num_Pmt_Per_Year,"")</f>
        <v>0</v>
      </c>
      <c r="I311" s="33">
        <f>IF(AND(Pay_Num&lt;&gt;"",Sched_Pay+Extra_Pay&lt;Beg_Bal),Beg_Bal-Princ,IF(Pay_Num&lt;&gt;"",0,""))</f>
        <v>0</v>
      </c>
      <c r="J311" s="33">
        <f>SUM($H$18:$H311)</f>
        <v>264024.10073253291</v>
      </c>
    </row>
    <row r="312" spans="1:10" x14ac:dyDescent="0.3">
      <c r="A312" s="36">
        <f>IF(Values_Entered,A311+1,"")</f>
        <v>295</v>
      </c>
      <c r="B312" s="35">
        <f>IF(Pay_Num&lt;&gt;"",DATE(YEAR(Loan_Start),MONTH(Loan_Start)+(Pay_Num)*12/Num_Pmt_Per_Year,DAY(Loan_Start)),"")</f>
        <v>54363</v>
      </c>
      <c r="C312" s="33">
        <f>IF(Pay_Num&lt;&gt;"",I311,"")</f>
        <v>0</v>
      </c>
      <c r="D312" s="33">
        <f>IF(Pay_Num&lt;&gt;"",Scheduled_Monthly_Payment,"")</f>
        <v>26333.835431927764</v>
      </c>
      <c r="E312" s="34">
        <f>IF(AND(Pay_Num&lt;&gt;"",Sched_Pay+Scheduled_Extra_Payments&lt;Beg_Bal),Scheduled_Extra_Payments,IF(AND(Pay_Num&lt;&gt;"",Beg_Bal-Sched_Pay&gt;0),Beg_Bal-Sched_Pay,IF(Pay_Num&lt;&gt;"",0,"")))</f>
        <v>0</v>
      </c>
      <c r="F312" s="33">
        <f>IF(AND(Pay_Num&lt;&gt;"",Sched_Pay+Extra_Pay&lt;Beg_Bal),Sched_Pay+Extra_Pay,IF(Pay_Num&lt;&gt;"",Beg_Bal,""))</f>
        <v>0</v>
      </c>
      <c r="G312" s="33">
        <f>IF(Pay_Num&lt;&gt;"",Total_Pay-Int,"")</f>
        <v>0</v>
      </c>
      <c r="H312" s="33">
        <f>IF(Pay_Num&lt;&gt;"",Beg_Bal*Interest_Rate/Num_Pmt_Per_Year,"")</f>
        <v>0</v>
      </c>
      <c r="I312" s="33">
        <f>IF(AND(Pay_Num&lt;&gt;"",Sched_Pay+Extra_Pay&lt;Beg_Bal),Beg_Bal-Princ,IF(Pay_Num&lt;&gt;"",0,""))</f>
        <v>0</v>
      </c>
      <c r="J312" s="33">
        <f>SUM($H$18:$H312)</f>
        <v>264024.10073253291</v>
      </c>
    </row>
    <row r="313" spans="1:10" x14ac:dyDescent="0.3">
      <c r="A313" s="36">
        <f>IF(Values_Entered,A312+1,"")</f>
        <v>296</v>
      </c>
      <c r="B313" s="35">
        <f>IF(Pay_Num&lt;&gt;"",DATE(YEAR(Loan_Start),MONTH(Loan_Start)+(Pay_Num)*12/Num_Pmt_Per_Year,DAY(Loan_Start)),"")</f>
        <v>54393</v>
      </c>
      <c r="C313" s="33">
        <f>IF(Pay_Num&lt;&gt;"",I312,"")</f>
        <v>0</v>
      </c>
      <c r="D313" s="33">
        <f>IF(Pay_Num&lt;&gt;"",Scheduled_Monthly_Payment,"")</f>
        <v>26333.835431927764</v>
      </c>
      <c r="E313" s="34">
        <f>IF(AND(Pay_Num&lt;&gt;"",Sched_Pay+Scheduled_Extra_Payments&lt;Beg_Bal),Scheduled_Extra_Payments,IF(AND(Pay_Num&lt;&gt;"",Beg_Bal-Sched_Pay&gt;0),Beg_Bal-Sched_Pay,IF(Pay_Num&lt;&gt;"",0,"")))</f>
        <v>0</v>
      </c>
      <c r="F313" s="33">
        <f>IF(AND(Pay_Num&lt;&gt;"",Sched_Pay+Extra_Pay&lt;Beg_Bal),Sched_Pay+Extra_Pay,IF(Pay_Num&lt;&gt;"",Beg_Bal,""))</f>
        <v>0</v>
      </c>
      <c r="G313" s="33">
        <f>IF(Pay_Num&lt;&gt;"",Total_Pay-Int,"")</f>
        <v>0</v>
      </c>
      <c r="H313" s="33">
        <f>IF(Pay_Num&lt;&gt;"",Beg_Bal*Interest_Rate/Num_Pmt_Per_Year,"")</f>
        <v>0</v>
      </c>
      <c r="I313" s="33">
        <f>IF(AND(Pay_Num&lt;&gt;"",Sched_Pay+Extra_Pay&lt;Beg_Bal),Beg_Bal-Princ,IF(Pay_Num&lt;&gt;"",0,""))</f>
        <v>0</v>
      </c>
      <c r="J313" s="33">
        <f>SUM($H$18:$H313)</f>
        <v>264024.10073253291</v>
      </c>
    </row>
    <row r="314" spans="1:10" x14ac:dyDescent="0.3">
      <c r="A314" s="36">
        <f>IF(Values_Entered,A313+1,"")</f>
        <v>297</v>
      </c>
      <c r="B314" s="35">
        <f>IF(Pay_Num&lt;&gt;"",DATE(YEAR(Loan_Start),MONTH(Loan_Start)+(Pay_Num)*12/Num_Pmt_Per_Year,DAY(Loan_Start)),"")</f>
        <v>54424</v>
      </c>
      <c r="C314" s="33">
        <f>IF(Pay_Num&lt;&gt;"",I313,"")</f>
        <v>0</v>
      </c>
      <c r="D314" s="33">
        <f>IF(Pay_Num&lt;&gt;"",Scheduled_Monthly_Payment,"")</f>
        <v>26333.835431927764</v>
      </c>
      <c r="E314" s="34">
        <f>IF(AND(Pay_Num&lt;&gt;"",Sched_Pay+Scheduled_Extra_Payments&lt;Beg_Bal),Scheduled_Extra_Payments,IF(AND(Pay_Num&lt;&gt;"",Beg_Bal-Sched_Pay&gt;0),Beg_Bal-Sched_Pay,IF(Pay_Num&lt;&gt;"",0,"")))</f>
        <v>0</v>
      </c>
      <c r="F314" s="33">
        <f>IF(AND(Pay_Num&lt;&gt;"",Sched_Pay+Extra_Pay&lt;Beg_Bal),Sched_Pay+Extra_Pay,IF(Pay_Num&lt;&gt;"",Beg_Bal,""))</f>
        <v>0</v>
      </c>
      <c r="G314" s="33">
        <f>IF(Pay_Num&lt;&gt;"",Total_Pay-Int,"")</f>
        <v>0</v>
      </c>
      <c r="H314" s="33">
        <f>IF(Pay_Num&lt;&gt;"",Beg_Bal*Interest_Rate/Num_Pmt_Per_Year,"")</f>
        <v>0</v>
      </c>
      <c r="I314" s="33">
        <f>IF(AND(Pay_Num&lt;&gt;"",Sched_Pay+Extra_Pay&lt;Beg_Bal),Beg_Bal-Princ,IF(Pay_Num&lt;&gt;"",0,""))</f>
        <v>0</v>
      </c>
      <c r="J314" s="33">
        <f>SUM($H$18:$H314)</f>
        <v>264024.10073253291</v>
      </c>
    </row>
    <row r="315" spans="1:10" x14ac:dyDescent="0.3">
      <c r="A315" s="36">
        <f>IF(Values_Entered,A314+1,"")</f>
        <v>298</v>
      </c>
      <c r="B315" s="35">
        <f>IF(Pay_Num&lt;&gt;"",DATE(YEAR(Loan_Start),MONTH(Loan_Start)+(Pay_Num)*12/Num_Pmt_Per_Year,DAY(Loan_Start)),"")</f>
        <v>54455</v>
      </c>
      <c r="C315" s="33">
        <f>IF(Pay_Num&lt;&gt;"",I314,"")</f>
        <v>0</v>
      </c>
      <c r="D315" s="33">
        <f>IF(Pay_Num&lt;&gt;"",Scheduled_Monthly_Payment,"")</f>
        <v>26333.835431927764</v>
      </c>
      <c r="E315" s="34">
        <f>IF(AND(Pay_Num&lt;&gt;"",Sched_Pay+Scheduled_Extra_Payments&lt;Beg_Bal),Scheduled_Extra_Payments,IF(AND(Pay_Num&lt;&gt;"",Beg_Bal-Sched_Pay&gt;0),Beg_Bal-Sched_Pay,IF(Pay_Num&lt;&gt;"",0,"")))</f>
        <v>0</v>
      </c>
      <c r="F315" s="33">
        <f>IF(AND(Pay_Num&lt;&gt;"",Sched_Pay+Extra_Pay&lt;Beg_Bal),Sched_Pay+Extra_Pay,IF(Pay_Num&lt;&gt;"",Beg_Bal,""))</f>
        <v>0</v>
      </c>
      <c r="G315" s="33">
        <f>IF(Pay_Num&lt;&gt;"",Total_Pay-Int,"")</f>
        <v>0</v>
      </c>
      <c r="H315" s="33">
        <f>IF(Pay_Num&lt;&gt;"",Beg_Bal*Interest_Rate/Num_Pmt_Per_Year,"")</f>
        <v>0</v>
      </c>
      <c r="I315" s="33">
        <f>IF(AND(Pay_Num&lt;&gt;"",Sched_Pay+Extra_Pay&lt;Beg_Bal),Beg_Bal-Princ,IF(Pay_Num&lt;&gt;"",0,""))</f>
        <v>0</v>
      </c>
      <c r="J315" s="33">
        <f>SUM($H$18:$H315)</f>
        <v>264024.10073253291</v>
      </c>
    </row>
    <row r="316" spans="1:10" x14ac:dyDescent="0.3">
      <c r="A316" s="36">
        <f>IF(Values_Entered,A315+1,"")</f>
        <v>299</v>
      </c>
      <c r="B316" s="35">
        <f>IF(Pay_Num&lt;&gt;"",DATE(YEAR(Loan_Start),MONTH(Loan_Start)+(Pay_Num)*12/Num_Pmt_Per_Year,DAY(Loan_Start)),"")</f>
        <v>54483</v>
      </c>
      <c r="C316" s="33">
        <f>IF(Pay_Num&lt;&gt;"",I315,"")</f>
        <v>0</v>
      </c>
      <c r="D316" s="33">
        <f>IF(Pay_Num&lt;&gt;"",Scheduled_Monthly_Payment,"")</f>
        <v>26333.835431927764</v>
      </c>
      <c r="E316" s="34">
        <f>IF(AND(Pay_Num&lt;&gt;"",Sched_Pay+Scheduled_Extra_Payments&lt;Beg_Bal),Scheduled_Extra_Payments,IF(AND(Pay_Num&lt;&gt;"",Beg_Bal-Sched_Pay&gt;0),Beg_Bal-Sched_Pay,IF(Pay_Num&lt;&gt;"",0,"")))</f>
        <v>0</v>
      </c>
      <c r="F316" s="33">
        <f>IF(AND(Pay_Num&lt;&gt;"",Sched_Pay+Extra_Pay&lt;Beg_Bal),Sched_Pay+Extra_Pay,IF(Pay_Num&lt;&gt;"",Beg_Bal,""))</f>
        <v>0</v>
      </c>
      <c r="G316" s="33">
        <f>IF(Pay_Num&lt;&gt;"",Total_Pay-Int,"")</f>
        <v>0</v>
      </c>
      <c r="H316" s="33">
        <f>IF(Pay_Num&lt;&gt;"",Beg_Bal*Interest_Rate/Num_Pmt_Per_Year,"")</f>
        <v>0</v>
      </c>
      <c r="I316" s="33">
        <f>IF(AND(Pay_Num&lt;&gt;"",Sched_Pay+Extra_Pay&lt;Beg_Bal),Beg_Bal-Princ,IF(Pay_Num&lt;&gt;"",0,""))</f>
        <v>0</v>
      </c>
      <c r="J316" s="33">
        <f>SUM($H$18:$H316)</f>
        <v>264024.10073253291</v>
      </c>
    </row>
    <row r="317" spans="1:10" x14ac:dyDescent="0.3">
      <c r="A317" s="36">
        <f>IF(Values_Entered,A316+1,"")</f>
        <v>300</v>
      </c>
      <c r="B317" s="35">
        <f>IF(Pay_Num&lt;&gt;"",DATE(YEAR(Loan_Start),MONTH(Loan_Start)+(Pay_Num)*12/Num_Pmt_Per_Year,DAY(Loan_Start)),"")</f>
        <v>54514</v>
      </c>
      <c r="C317" s="33">
        <f>IF(Pay_Num&lt;&gt;"",I316,"")</f>
        <v>0</v>
      </c>
      <c r="D317" s="33">
        <f>IF(Pay_Num&lt;&gt;"",Scheduled_Monthly_Payment,"")</f>
        <v>26333.835431927764</v>
      </c>
      <c r="E317" s="34">
        <f>IF(AND(Pay_Num&lt;&gt;"",Sched_Pay+Scheduled_Extra_Payments&lt;Beg_Bal),Scheduled_Extra_Payments,IF(AND(Pay_Num&lt;&gt;"",Beg_Bal-Sched_Pay&gt;0),Beg_Bal-Sched_Pay,IF(Pay_Num&lt;&gt;"",0,"")))</f>
        <v>0</v>
      </c>
      <c r="F317" s="33">
        <f>IF(AND(Pay_Num&lt;&gt;"",Sched_Pay+Extra_Pay&lt;Beg_Bal),Sched_Pay+Extra_Pay,IF(Pay_Num&lt;&gt;"",Beg_Bal,""))</f>
        <v>0</v>
      </c>
      <c r="G317" s="33">
        <f>IF(Pay_Num&lt;&gt;"",Total_Pay-Int,"")</f>
        <v>0</v>
      </c>
      <c r="H317" s="33">
        <f>IF(Pay_Num&lt;&gt;"",Beg_Bal*Interest_Rate/Num_Pmt_Per_Year,"")</f>
        <v>0</v>
      </c>
      <c r="I317" s="33">
        <f>IF(AND(Pay_Num&lt;&gt;"",Sched_Pay+Extra_Pay&lt;Beg_Bal),Beg_Bal-Princ,IF(Pay_Num&lt;&gt;"",0,""))</f>
        <v>0</v>
      </c>
      <c r="J317" s="33">
        <f>SUM($H$18:$H317)</f>
        <v>264024.10073253291</v>
      </c>
    </row>
    <row r="318" spans="1:10" x14ac:dyDescent="0.3">
      <c r="A318" s="36">
        <f>IF(Values_Entered,A317+1,"")</f>
        <v>301</v>
      </c>
      <c r="B318" s="35">
        <f>IF(Pay_Num&lt;&gt;"",DATE(YEAR(Loan_Start),MONTH(Loan_Start)+(Pay_Num)*12/Num_Pmt_Per_Year,DAY(Loan_Start)),"")</f>
        <v>54544</v>
      </c>
      <c r="C318" s="33">
        <f>IF(Pay_Num&lt;&gt;"",I317,"")</f>
        <v>0</v>
      </c>
      <c r="D318" s="33">
        <f>IF(Pay_Num&lt;&gt;"",Scheduled_Monthly_Payment,"")</f>
        <v>26333.835431927764</v>
      </c>
      <c r="E318" s="34">
        <f>IF(AND(Pay_Num&lt;&gt;"",Sched_Pay+Scheduled_Extra_Payments&lt;Beg_Bal),Scheduled_Extra_Payments,IF(AND(Pay_Num&lt;&gt;"",Beg_Bal-Sched_Pay&gt;0),Beg_Bal-Sched_Pay,IF(Pay_Num&lt;&gt;"",0,"")))</f>
        <v>0</v>
      </c>
      <c r="F318" s="33">
        <f>IF(AND(Pay_Num&lt;&gt;"",Sched_Pay+Extra_Pay&lt;Beg_Bal),Sched_Pay+Extra_Pay,IF(Pay_Num&lt;&gt;"",Beg_Bal,""))</f>
        <v>0</v>
      </c>
      <c r="G318" s="33">
        <f>IF(Pay_Num&lt;&gt;"",Total_Pay-Int,"")</f>
        <v>0</v>
      </c>
      <c r="H318" s="33">
        <f>IF(Pay_Num&lt;&gt;"",Beg_Bal*Interest_Rate/Num_Pmt_Per_Year,"")</f>
        <v>0</v>
      </c>
      <c r="I318" s="33">
        <f>IF(AND(Pay_Num&lt;&gt;"",Sched_Pay+Extra_Pay&lt;Beg_Bal),Beg_Bal-Princ,IF(Pay_Num&lt;&gt;"",0,""))</f>
        <v>0</v>
      </c>
      <c r="J318" s="33">
        <f>SUM($H$18:$H318)</f>
        <v>264024.10073253291</v>
      </c>
    </row>
    <row r="319" spans="1:10" x14ac:dyDescent="0.3">
      <c r="A319" s="36">
        <f>IF(Values_Entered,A318+1,"")</f>
        <v>302</v>
      </c>
      <c r="B319" s="35">
        <f>IF(Pay_Num&lt;&gt;"",DATE(YEAR(Loan_Start),MONTH(Loan_Start)+(Pay_Num)*12/Num_Pmt_Per_Year,DAY(Loan_Start)),"")</f>
        <v>54575</v>
      </c>
      <c r="C319" s="33">
        <f>IF(Pay_Num&lt;&gt;"",I318,"")</f>
        <v>0</v>
      </c>
      <c r="D319" s="33">
        <f>IF(Pay_Num&lt;&gt;"",Scheduled_Monthly_Payment,"")</f>
        <v>26333.835431927764</v>
      </c>
      <c r="E319" s="34">
        <f>IF(AND(Pay_Num&lt;&gt;"",Sched_Pay+Scheduled_Extra_Payments&lt;Beg_Bal),Scheduled_Extra_Payments,IF(AND(Pay_Num&lt;&gt;"",Beg_Bal-Sched_Pay&gt;0),Beg_Bal-Sched_Pay,IF(Pay_Num&lt;&gt;"",0,"")))</f>
        <v>0</v>
      </c>
      <c r="F319" s="33">
        <f>IF(AND(Pay_Num&lt;&gt;"",Sched_Pay+Extra_Pay&lt;Beg_Bal),Sched_Pay+Extra_Pay,IF(Pay_Num&lt;&gt;"",Beg_Bal,""))</f>
        <v>0</v>
      </c>
      <c r="G319" s="33">
        <f>IF(Pay_Num&lt;&gt;"",Total_Pay-Int,"")</f>
        <v>0</v>
      </c>
      <c r="H319" s="33">
        <f>IF(Pay_Num&lt;&gt;"",Beg_Bal*Interest_Rate/Num_Pmt_Per_Year,"")</f>
        <v>0</v>
      </c>
      <c r="I319" s="33">
        <f>IF(AND(Pay_Num&lt;&gt;"",Sched_Pay+Extra_Pay&lt;Beg_Bal),Beg_Bal-Princ,IF(Pay_Num&lt;&gt;"",0,""))</f>
        <v>0</v>
      </c>
      <c r="J319" s="33">
        <f>SUM($H$18:$H319)</f>
        <v>264024.10073253291</v>
      </c>
    </row>
    <row r="320" spans="1:10" x14ac:dyDescent="0.3">
      <c r="A320" s="36">
        <f>IF(Values_Entered,A319+1,"")</f>
        <v>303</v>
      </c>
      <c r="B320" s="35">
        <f>IF(Pay_Num&lt;&gt;"",DATE(YEAR(Loan_Start),MONTH(Loan_Start)+(Pay_Num)*12/Num_Pmt_Per_Year,DAY(Loan_Start)),"")</f>
        <v>54605</v>
      </c>
      <c r="C320" s="33">
        <f>IF(Pay_Num&lt;&gt;"",I319,"")</f>
        <v>0</v>
      </c>
      <c r="D320" s="33">
        <f>IF(Pay_Num&lt;&gt;"",Scheduled_Monthly_Payment,"")</f>
        <v>26333.835431927764</v>
      </c>
      <c r="E320" s="34">
        <f>IF(AND(Pay_Num&lt;&gt;"",Sched_Pay+Scheduled_Extra_Payments&lt;Beg_Bal),Scheduled_Extra_Payments,IF(AND(Pay_Num&lt;&gt;"",Beg_Bal-Sched_Pay&gt;0),Beg_Bal-Sched_Pay,IF(Pay_Num&lt;&gt;"",0,"")))</f>
        <v>0</v>
      </c>
      <c r="F320" s="33">
        <f>IF(AND(Pay_Num&lt;&gt;"",Sched_Pay+Extra_Pay&lt;Beg_Bal),Sched_Pay+Extra_Pay,IF(Pay_Num&lt;&gt;"",Beg_Bal,""))</f>
        <v>0</v>
      </c>
      <c r="G320" s="33">
        <f>IF(Pay_Num&lt;&gt;"",Total_Pay-Int,"")</f>
        <v>0</v>
      </c>
      <c r="H320" s="33">
        <f>IF(Pay_Num&lt;&gt;"",Beg_Bal*Interest_Rate/Num_Pmt_Per_Year,"")</f>
        <v>0</v>
      </c>
      <c r="I320" s="33">
        <f>IF(AND(Pay_Num&lt;&gt;"",Sched_Pay+Extra_Pay&lt;Beg_Bal),Beg_Bal-Princ,IF(Pay_Num&lt;&gt;"",0,""))</f>
        <v>0</v>
      </c>
      <c r="J320" s="33">
        <f>SUM($H$18:$H320)</f>
        <v>264024.10073253291</v>
      </c>
    </row>
    <row r="321" spans="1:10" x14ac:dyDescent="0.3">
      <c r="A321" s="36">
        <f>IF(Values_Entered,A320+1,"")</f>
        <v>304</v>
      </c>
      <c r="B321" s="35">
        <f>IF(Pay_Num&lt;&gt;"",DATE(YEAR(Loan_Start),MONTH(Loan_Start)+(Pay_Num)*12/Num_Pmt_Per_Year,DAY(Loan_Start)),"")</f>
        <v>54636</v>
      </c>
      <c r="C321" s="33">
        <f>IF(Pay_Num&lt;&gt;"",I320,"")</f>
        <v>0</v>
      </c>
      <c r="D321" s="33">
        <f>IF(Pay_Num&lt;&gt;"",Scheduled_Monthly_Payment,"")</f>
        <v>26333.835431927764</v>
      </c>
      <c r="E321" s="34">
        <f>IF(AND(Pay_Num&lt;&gt;"",Sched_Pay+Scheduled_Extra_Payments&lt;Beg_Bal),Scheduled_Extra_Payments,IF(AND(Pay_Num&lt;&gt;"",Beg_Bal-Sched_Pay&gt;0),Beg_Bal-Sched_Pay,IF(Pay_Num&lt;&gt;"",0,"")))</f>
        <v>0</v>
      </c>
      <c r="F321" s="33">
        <f>IF(AND(Pay_Num&lt;&gt;"",Sched_Pay+Extra_Pay&lt;Beg_Bal),Sched_Pay+Extra_Pay,IF(Pay_Num&lt;&gt;"",Beg_Bal,""))</f>
        <v>0</v>
      </c>
      <c r="G321" s="33">
        <f>IF(Pay_Num&lt;&gt;"",Total_Pay-Int,"")</f>
        <v>0</v>
      </c>
      <c r="H321" s="33">
        <f>IF(Pay_Num&lt;&gt;"",Beg_Bal*Interest_Rate/Num_Pmt_Per_Year,"")</f>
        <v>0</v>
      </c>
      <c r="I321" s="33">
        <f>IF(AND(Pay_Num&lt;&gt;"",Sched_Pay+Extra_Pay&lt;Beg_Bal),Beg_Bal-Princ,IF(Pay_Num&lt;&gt;"",0,""))</f>
        <v>0</v>
      </c>
      <c r="J321" s="33">
        <f>SUM($H$18:$H321)</f>
        <v>264024.10073253291</v>
      </c>
    </row>
    <row r="322" spans="1:10" x14ac:dyDescent="0.3">
      <c r="A322" s="36">
        <f>IF(Values_Entered,A321+1,"")</f>
        <v>305</v>
      </c>
      <c r="B322" s="35">
        <f>IF(Pay_Num&lt;&gt;"",DATE(YEAR(Loan_Start),MONTH(Loan_Start)+(Pay_Num)*12/Num_Pmt_Per_Year,DAY(Loan_Start)),"")</f>
        <v>54667</v>
      </c>
      <c r="C322" s="33">
        <f>IF(Pay_Num&lt;&gt;"",I321,"")</f>
        <v>0</v>
      </c>
      <c r="D322" s="33">
        <f>IF(Pay_Num&lt;&gt;"",Scheduled_Monthly_Payment,"")</f>
        <v>26333.835431927764</v>
      </c>
      <c r="E322" s="34">
        <f>IF(AND(Pay_Num&lt;&gt;"",Sched_Pay+Scheduled_Extra_Payments&lt;Beg_Bal),Scheduled_Extra_Payments,IF(AND(Pay_Num&lt;&gt;"",Beg_Bal-Sched_Pay&gt;0),Beg_Bal-Sched_Pay,IF(Pay_Num&lt;&gt;"",0,"")))</f>
        <v>0</v>
      </c>
      <c r="F322" s="33">
        <f>IF(AND(Pay_Num&lt;&gt;"",Sched_Pay+Extra_Pay&lt;Beg_Bal),Sched_Pay+Extra_Pay,IF(Pay_Num&lt;&gt;"",Beg_Bal,""))</f>
        <v>0</v>
      </c>
      <c r="G322" s="33">
        <f>IF(Pay_Num&lt;&gt;"",Total_Pay-Int,"")</f>
        <v>0</v>
      </c>
      <c r="H322" s="33">
        <f>IF(Pay_Num&lt;&gt;"",Beg_Bal*Interest_Rate/Num_Pmt_Per_Year,"")</f>
        <v>0</v>
      </c>
      <c r="I322" s="33">
        <f>IF(AND(Pay_Num&lt;&gt;"",Sched_Pay+Extra_Pay&lt;Beg_Bal),Beg_Bal-Princ,IF(Pay_Num&lt;&gt;"",0,""))</f>
        <v>0</v>
      </c>
      <c r="J322" s="33">
        <f>SUM($H$18:$H322)</f>
        <v>264024.10073253291</v>
      </c>
    </row>
    <row r="323" spans="1:10" x14ac:dyDescent="0.3">
      <c r="A323" s="36">
        <f>IF(Values_Entered,A322+1,"")</f>
        <v>306</v>
      </c>
      <c r="B323" s="35">
        <f>IF(Pay_Num&lt;&gt;"",DATE(YEAR(Loan_Start),MONTH(Loan_Start)+(Pay_Num)*12/Num_Pmt_Per_Year,DAY(Loan_Start)),"")</f>
        <v>54697</v>
      </c>
      <c r="C323" s="33">
        <f>IF(Pay_Num&lt;&gt;"",I322,"")</f>
        <v>0</v>
      </c>
      <c r="D323" s="33">
        <f>IF(Pay_Num&lt;&gt;"",Scheduled_Monthly_Payment,"")</f>
        <v>26333.835431927764</v>
      </c>
      <c r="E323" s="34">
        <f>IF(AND(Pay_Num&lt;&gt;"",Sched_Pay+Scheduled_Extra_Payments&lt;Beg_Bal),Scheduled_Extra_Payments,IF(AND(Pay_Num&lt;&gt;"",Beg_Bal-Sched_Pay&gt;0),Beg_Bal-Sched_Pay,IF(Pay_Num&lt;&gt;"",0,"")))</f>
        <v>0</v>
      </c>
      <c r="F323" s="33">
        <f>IF(AND(Pay_Num&lt;&gt;"",Sched_Pay+Extra_Pay&lt;Beg_Bal),Sched_Pay+Extra_Pay,IF(Pay_Num&lt;&gt;"",Beg_Bal,""))</f>
        <v>0</v>
      </c>
      <c r="G323" s="33">
        <f>IF(Pay_Num&lt;&gt;"",Total_Pay-Int,"")</f>
        <v>0</v>
      </c>
      <c r="H323" s="33">
        <f>IF(Pay_Num&lt;&gt;"",Beg_Bal*Interest_Rate/Num_Pmt_Per_Year,"")</f>
        <v>0</v>
      </c>
      <c r="I323" s="33">
        <f>IF(AND(Pay_Num&lt;&gt;"",Sched_Pay+Extra_Pay&lt;Beg_Bal),Beg_Bal-Princ,IF(Pay_Num&lt;&gt;"",0,""))</f>
        <v>0</v>
      </c>
      <c r="J323" s="33">
        <f>SUM($H$18:$H323)</f>
        <v>264024.10073253291</v>
      </c>
    </row>
    <row r="324" spans="1:10" x14ac:dyDescent="0.3">
      <c r="A324" s="36">
        <f>IF(Values_Entered,A323+1,"")</f>
        <v>307</v>
      </c>
      <c r="B324" s="35">
        <f>IF(Pay_Num&lt;&gt;"",DATE(YEAR(Loan_Start),MONTH(Loan_Start)+(Pay_Num)*12/Num_Pmt_Per_Year,DAY(Loan_Start)),"")</f>
        <v>54728</v>
      </c>
      <c r="C324" s="33">
        <f>IF(Pay_Num&lt;&gt;"",I323,"")</f>
        <v>0</v>
      </c>
      <c r="D324" s="33">
        <f>IF(Pay_Num&lt;&gt;"",Scheduled_Monthly_Payment,"")</f>
        <v>26333.835431927764</v>
      </c>
      <c r="E324" s="34">
        <f>IF(AND(Pay_Num&lt;&gt;"",Sched_Pay+Scheduled_Extra_Payments&lt;Beg_Bal),Scheduled_Extra_Payments,IF(AND(Pay_Num&lt;&gt;"",Beg_Bal-Sched_Pay&gt;0),Beg_Bal-Sched_Pay,IF(Pay_Num&lt;&gt;"",0,"")))</f>
        <v>0</v>
      </c>
      <c r="F324" s="33">
        <f>IF(AND(Pay_Num&lt;&gt;"",Sched_Pay+Extra_Pay&lt;Beg_Bal),Sched_Pay+Extra_Pay,IF(Pay_Num&lt;&gt;"",Beg_Bal,""))</f>
        <v>0</v>
      </c>
      <c r="G324" s="33">
        <f>IF(Pay_Num&lt;&gt;"",Total_Pay-Int,"")</f>
        <v>0</v>
      </c>
      <c r="H324" s="33">
        <f>IF(Pay_Num&lt;&gt;"",Beg_Bal*Interest_Rate/Num_Pmt_Per_Year,"")</f>
        <v>0</v>
      </c>
      <c r="I324" s="33">
        <f>IF(AND(Pay_Num&lt;&gt;"",Sched_Pay+Extra_Pay&lt;Beg_Bal),Beg_Bal-Princ,IF(Pay_Num&lt;&gt;"",0,""))</f>
        <v>0</v>
      </c>
      <c r="J324" s="33">
        <f>SUM($H$18:$H324)</f>
        <v>264024.10073253291</v>
      </c>
    </row>
    <row r="325" spans="1:10" x14ac:dyDescent="0.3">
      <c r="A325" s="36">
        <f>IF(Values_Entered,A324+1,"")</f>
        <v>308</v>
      </c>
      <c r="B325" s="35">
        <f>IF(Pay_Num&lt;&gt;"",DATE(YEAR(Loan_Start),MONTH(Loan_Start)+(Pay_Num)*12/Num_Pmt_Per_Year,DAY(Loan_Start)),"")</f>
        <v>54758</v>
      </c>
      <c r="C325" s="33">
        <f>IF(Pay_Num&lt;&gt;"",I324,"")</f>
        <v>0</v>
      </c>
      <c r="D325" s="33">
        <f>IF(Pay_Num&lt;&gt;"",Scheduled_Monthly_Payment,"")</f>
        <v>26333.835431927764</v>
      </c>
      <c r="E325" s="34">
        <f>IF(AND(Pay_Num&lt;&gt;"",Sched_Pay+Scheduled_Extra_Payments&lt;Beg_Bal),Scheduled_Extra_Payments,IF(AND(Pay_Num&lt;&gt;"",Beg_Bal-Sched_Pay&gt;0),Beg_Bal-Sched_Pay,IF(Pay_Num&lt;&gt;"",0,"")))</f>
        <v>0</v>
      </c>
      <c r="F325" s="33">
        <f>IF(AND(Pay_Num&lt;&gt;"",Sched_Pay+Extra_Pay&lt;Beg_Bal),Sched_Pay+Extra_Pay,IF(Pay_Num&lt;&gt;"",Beg_Bal,""))</f>
        <v>0</v>
      </c>
      <c r="G325" s="33">
        <f>IF(Pay_Num&lt;&gt;"",Total_Pay-Int,"")</f>
        <v>0</v>
      </c>
      <c r="H325" s="33">
        <f>IF(Pay_Num&lt;&gt;"",Beg_Bal*Interest_Rate/Num_Pmt_Per_Year,"")</f>
        <v>0</v>
      </c>
      <c r="I325" s="33">
        <f>IF(AND(Pay_Num&lt;&gt;"",Sched_Pay+Extra_Pay&lt;Beg_Bal),Beg_Bal-Princ,IF(Pay_Num&lt;&gt;"",0,""))</f>
        <v>0</v>
      </c>
      <c r="J325" s="33">
        <f>SUM($H$18:$H325)</f>
        <v>264024.10073253291</v>
      </c>
    </row>
    <row r="326" spans="1:10" x14ac:dyDescent="0.3">
      <c r="A326" s="36">
        <f>IF(Values_Entered,A325+1,"")</f>
        <v>309</v>
      </c>
      <c r="B326" s="35">
        <f>IF(Pay_Num&lt;&gt;"",DATE(YEAR(Loan_Start),MONTH(Loan_Start)+(Pay_Num)*12/Num_Pmt_Per_Year,DAY(Loan_Start)),"")</f>
        <v>54789</v>
      </c>
      <c r="C326" s="33">
        <f>IF(Pay_Num&lt;&gt;"",I325,"")</f>
        <v>0</v>
      </c>
      <c r="D326" s="33">
        <f>IF(Pay_Num&lt;&gt;"",Scheduled_Monthly_Payment,"")</f>
        <v>26333.835431927764</v>
      </c>
      <c r="E326" s="34">
        <f>IF(AND(Pay_Num&lt;&gt;"",Sched_Pay+Scheduled_Extra_Payments&lt;Beg_Bal),Scheduled_Extra_Payments,IF(AND(Pay_Num&lt;&gt;"",Beg_Bal-Sched_Pay&gt;0),Beg_Bal-Sched_Pay,IF(Pay_Num&lt;&gt;"",0,"")))</f>
        <v>0</v>
      </c>
      <c r="F326" s="33">
        <f>IF(AND(Pay_Num&lt;&gt;"",Sched_Pay+Extra_Pay&lt;Beg_Bal),Sched_Pay+Extra_Pay,IF(Pay_Num&lt;&gt;"",Beg_Bal,""))</f>
        <v>0</v>
      </c>
      <c r="G326" s="33">
        <f>IF(Pay_Num&lt;&gt;"",Total_Pay-Int,"")</f>
        <v>0</v>
      </c>
      <c r="H326" s="33">
        <f>IF(Pay_Num&lt;&gt;"",Beg_Bal*Interest_Rate/Num_Pmt_Per_Year,"")</f>
        <v>0</v>
      </c>
      <c r="I326" s="33">
        <f>IF(AND(Pay_Num&lt;&gt;"",Sched_Pay+Extra_Pay&lt;Beg_Bal),Beg_Bal-Princ,IF(Pay_Num&lt;&gt;"",0,""))</f>
        <v>0</v>
      </c>
      <c r="J326" s="33">
        <f>SUM($H$18:$H326)</f>
        <v>264024.10073253291</v>
      </c>
    </row>
    <row r="327" spans="1:10" x14ac:dyDescent="0.3">
      <c r="A327" s="36">
        <f>IF(Values_Entered,A326+1,"")</f>
        <v>310</v>
      </c>
      <c r="B327" s="35">
        <f>IF(Pay_Num&lt;&gt;"",DATE(YEAR(Loan_Start),MONTH(Loan_Start)+(Pay_Num)*12/Num_Pmt_Per_Year,DAY(Loan_Start)),"")</f>
        <v>54820</v>
      </c>
      <c r="C327" s="33">
        <f>IF(Pay_Num&lt;&gt;"",I326,"")</f>
        <v>0</v>
      </c>
      <c r="D327" s="33">
        <f>IF(Pay_Num&lt;&gt;"",Scheduled_Monthly_Payment,"")</f>
        <v>26333.835431927764</v>
      </c>
      <c r="E327" s="34">
        <f>IF(AND(Pay_Num&lt;&gt;"",Sched_Pay+Scheduled_Extra_Payments&lt;Beg_Bal),Scheduled_Extra_Payments,IF(AND(Pay_Num&lt;&gt;"",Beg_Bal-Sched_Pay&gt;0),Beg_Bal-Sched_Pay,IF(Pay_Num&lt;&gt;"",0,"")))</f>
        <v>0</v>
      </c>
      <c r="F327" s="33">
        <f>IF(AND(Pay_Num&lt;&gt;"",Sched_Pay+Extra_Pay&lt;Beg_Bal),Sched_Pay+Extra_Pay,IF(Pay_Num&lt;&gt;"",Beg_Bal,""))</f>
        <v>0</v>
      </c>
      <c r="G327" s="33">
        <f>IF(Pay_Num&lt;&gt;"",Total_Pay-Int,"")</f>
        <v>0</v>
      </c>
      <c r="H327" s="33">
        <f>IF(Pay_Num&lt;&gt;"",Beg_Bal*Interest_Rate/Num_Pmt_Per_Year,"")</f>
        <v>0</v>
      </c>
      <c r="I327" s="33">
        <f>IF(AND(Pay_Num&lt;&gt;"",Sched_Pay+Extra_Pay&lt;Beg_Bal),Beg_Bal-Princ,IF(Pay_Num&lt;&gt;"",0,""))</f>
        <v>0</v>
      </c>
      <c r="J327" s="33">
        <f>SUM($H$18:$H327)</f>
        <v>264024.10073253291</v>
      </c>
    </row>
    <row r="328" spans="1:10" x14ac:dyDescent="0.3">
      <c r="A328" s="36">
        <f>IF(Values_Entered,A327+1,"")</f>
        <v>311</v>
      </c>
      <c r="B328" s="35">
        <f>IF(Pay_Num&lt;&gt;"",DATE(YEAR(Loan_Start),MONTH(Loan_Start)+(Pay_Num)*12/Num_Pmt_Per_Year,DAY(Loan_Start)),"")</f>
        <v>54848</v>
      </c>
      <c r="C328" s="33">
        <f>IF(Pay_Num&lt;&gt;"",I327,"")</f>
        <v>0</v>
      </c>
      <c r="D328" s="33">
        <f>IF(Pay_Num&lt;&gt;"",Scheduled_Monthly_Payment,"")</f>
        <v>26333.835431927764</v>
      </c>
      <c r="E328" s="34">
        <f>IF(AND(Pay_Num&lt;&gt;"",Sched_Pay+Scheduled_Extra_Payments&lt;Beg_Bal),Scheduled_Extra_Payments,IF(AND(Pay_Num&lt;&gt;"",Beg_Bal-Sched_Pay&gt;0),Beg_Bal-Sched_Pay,IF(Pay_Num&lt;&gt;"",0,"")))</f>
        <v>0</v>
      </c>
      <c r="F328" s="33">
        <f>IF(AND(Pay_Num&lt;&gt;"",Sched_Pay+Extra_Pay&lt;Beg_Bal),Sched_Pay+Extra_Pay,IF(Pay_Num&lt;&gt;"",Beg_Bal,""))</f>
        <v>0</v>
      </c>
      <c r="G328" s="33">
        <f>IF(Pay_Num&lt;&gt;"",Total_Pay-Int,"")</f>
        <v>0</v>
      </c>
      <c r="H328" s="33">
        <f>IF(Pay_Num&lt;&gt;"",Beg_Bal*Interest_Rate/Num_Pmt_Per_Year,"")</f>
        <v>0</v>
      </c>
      <c r="I328" s="33">
        <f>IF(AND(Pay_Num&lt;&gt;"",Sched_Pay+Extra_Pay&lt;Beg_Bal),Beg_Bal-Princ,IF(Pay_Num&lt;&gt;"",0,""))</f>
        <v>0</v>
      </c>
      <c r="J328" s="33">
        <f>SUM($H$18:$H328)</f>
        <v>264024.10073253291</v>
      </c>
    </row>
    <row r="329" spans="1:10" x14ac:dyDescent="0.3">
      <c r="A329" s="36">
        <f>IF(Values_Entered,A328+1,"")</f>
        <v>312</v>
      </c>
      <c r="B329" s="35">
        <f>IF(Pay_Num&lt;&gt;"",DATE(YEAR(Loan_Start),MONTH(Loan_Start)+(Pay_Num)*12/Num_Pmt_Per_Year,DAY(Loan_Start)),"")</f>
        <v>54879</v>
      </c>
      <c r="C329" s="33">
        <f>IF(Pay_Num&lt;&gt;"",I328,"")</f>
        <v>0</v>
      </c>
      <c r="D329" s="33">
        <f>IF(Pay_Num&lt;&gt;"",Scheduled_Monthly_Payment,"")</f>
        <v>26333.835431927764</v>
      </c>
      <c r="E329" s="34">
        <f>IF(AND(Pay_Num&lt;&gt;"",Sched_Pay+Scheduled_Extra_Payments&lt;Beg_Bal),Scheduled_Extra_Payments,IF(AND(Pay_Num&lt;&gt;"",Beg_Bal-Sched_Pay&gt;0),Beg_Bal-Sched_Pay,IF(Pay_Num&lt;&gt;"",0,"")))</f>
        <v>0</v>
      </c>
      <c r="F329" s="33">
        <f>IF(AND(Pay_Num&lt;&gt;"",Sched_Pay+Extra_Pay&lt;Beg_Bal),Sched_Pay+Extra_Pay,IF(Pay_Num&lt;&gt;"",Beg_Bal,""))</f>
        <v>0</v>
      </c>
      <c r="G329" s="33">
        <f>IF(Pay_Num&lt;&gt;"",Total_Pay-Int,"")</f>
        <v>0</v>
      </c>
      <c r="H329" s="33">
        <f>IF(Pay_Num&lt;&gt;"",Beg_Bal*Interest_Rate/Num_Pmt_Per_Year,"")</f>
        <v>0</v>
      </c>
      <c r="I329" s="33">
        <f>IF(AND(Pay_Num&lt;&gt;"",Sched_Pay+Extra_Pay&lt;Beg_Bal),Beg_Bal-Princ,IF(Pay_Num&lt;&gt;"",0,""))</f>
        <v>0</v>
      </c>
      <c r="J329" s="33">
        <f>SUM($H$18:$H329)</f>
        <v>264024.10073253291</v>
      </c>
    </row>
    <row r="330" spans="1:10" x14ac:dyDescent="0.3">
      <c r="A330" s="36">
        <f>IF(Values_Entered,A329+1,"")</f>
        <v>313</v>
      </c>
      <c r="B330" s="35">
        <f>IF(Pay_Num&lt;&gt;"",DATE(YEAR(Loan_Start),MONTH(Loan_Start)+(Pay_Num)*12/Num_Pmt_Per_Year,DAY(Loan_Start)),"")</f>
        <v>54909</v>
      </c>
      <c r="C330" s="33">
        <f>IF(Pay_Num&lt;&gt;"",I329,"")</f>
        <v>0</v>
      </c>
      <c r="D330" s="33">
        <f>IF(Pay_Num&lt;&gt;"",Scheduled_Monthly_Payment,"")</f>
        <v>26333.835431927764</v>
      </c>
      <c r="E330" s="34">
        <f>IF(AND(Pay_Num&lt;&gt;"",Sched_Pay+Scheduled_Extra_Payments&lt;Beg_Bal),Scheduled_Extra_Payments,IF(AND(Pay_Num&lt;&gt;"",Beg_Bal-Sched_Pay&gt;0),Beg_Bal-Sched_Pay,IF(Pay_Num&lt;&gt;"",0,"")))</f>
        <v>0</v>
      </c>
      <c r="F330" s="33">
        <f>IF(AND(Pay_Num&lt;&gt;"",Sched_Pay+Extra_Pay&lt;Beg_Bal),Sched_Pay+Extra_Pay,IF(Pay_Num&lt;&gt;"",Beg_Bal,""))</f>
        <v>0</v>
      </c>
      <c r="G330" s="33">
        <f>IF(Pay_Num&lt;&gt;"",Total_Pay-Int,"")</f>
        <v>0</v>
      </c>
      <c r="H330" s="33">
        <f>IF(Pay_Num&lt;&gt;"",Beg_Bal*Interest_Rate/Num_Pmt_Per_Year,"")</f>
        <v>0</v>
      </c>
      <c r="I330" s="33">
        <f>IF(AND(Pay_Num&lt;&gt;"",Sched_Pay+Extra_Pay&lt;Beg_Bal),Beg_Bal-Princ,IF(Pay_Num&lt;&gt;"",0,""))</f>
        <v>0</v>
      </c>
      <c r="J330" s="33">
        <f>SUM($H$18:$H330)</f>
        <v>264024.10073253291</v>
      </c>
    </row>
    <row r="331" spans="1:10" x14ac:dyDescent="0.3">
      <c r="A331" s="36">
        <f>IF(Values_Entered,A330+1,"")</f>
        <v>314</v>
      </c>
      <c r="B331" s="35">
        <f>IF(Pay_Num&lt;&gt;"",DATE(YEAR(Loan_Start),MONTH(Loan_Start)+(Pay_Num)*12/Num_Pmt_Per_Year,DAY(Loan_Start)),"")</f>
        <v>54940</v>
      </c>
      <c r="C331" s="33">
        <f>IF(Pay_Num&lt;&gt;"",I330,"")</f>
        <v>0</v>
      </c>
      <c r="D331" s="33">
        <f>IF(Pay_Num&lt;&gt;"",Scheduled_Monthly_Payment,"")</f>
        <v>26333.835431927764</v>
      </c>
      <c r="E331" s="34">
        <f>IF(AND(Pay_Num&lt;&gt;"",Sched_Pay+Scheduled_Extra_Payments&lt;Beg_Bal),Scheduled_Extra_Payments,IF(AND(Pay_Num&lt;&gt;"",Beg_Bal-Sched_Pay&gt;0),Beg_Bal-Sched_Pay,IF(Pay_Num&lt;&gt;"",0,"")))</f>
        <v>0</v>
      </c>
      <c r="F331" s="33">
        <f>IF(AND(Pay_Num&lt;&gt;"",Sched_Pay+Extra_Pay&lt;Beg_Bal),Sched_Pay+Extra_Pay,IF(Pay_Num&lt;&gt;"",Beg_Bal,""))</f>
        <v>0</v>
      </c>
      <c r="G331" s="33">
        <f>IF(Pay_Num&lt;&gt;"",Total_Pay-Int,"")</f>
        <v>0</v>
      </c>
      <c r="H331" s="33">
        <f>IF(Pay_Num&lt;&gt;"",Beg_Bal*Interest_Rate/Num_Pmt_Per_Year,"")</f>
        <v>0</v>
      </c>
      <c r="I331" s="33">
        <f>IF(AND(Pay_Num&lt;&gt;"",Sched_Pay+Extra_Pay&lt;Beg_Bal),Beg_Bal-Princ,IF(Pay_Num&lt;&gt;"",0,""))</f>
        <v>0</v>
      </c>
      <c r="J331" s="33">
        <f>SUM($H$18:$H331)</f>
        <v>264024.10073253291</v>
      </c>
    </row>
    <row r="332" spans="1:10" x14ac:dyDescent="0.3">
      <c r="A332" s="36">
        <f>IF(Values_Entered,A331+1,"")</f>
        <v>315</v>
      </c>
      <c r="B332" s="35">
        <f>IF(Pay_Num&lt;&gt;"",DATE(YEAR(Loan_Start),MONTH(Loan_Start)+(Pay_Num)*12/Num_Pmt_Per_Year,DAY(Loan_Start)),"")</f>
        <v>54970</v>
      </c>
      <c r="C332" s="33">
        <f>IF(Pay_Num&lt;&gt;"",I331,"")</f>
        <v>0</v>
      </c>
      <c r="D332" s="33">
        <f>IF(Pay_Num&lt;&gt;"",Scheduled_Monthly_Payment,"")</f>
        <v>26333.835431927764</v>
      </c>
      <c r="E332" s="34">
        <f>IF(AND(Pay_Num&lt;&gt;"",Sched_Pay+Scheduled_Extra_Payments&lt;Beg_Bal),Scheduled_Extra_Payments,IF(AND(Pay_Num&lt;&gt;"",Beg_Bal-Sched_Pay&gt;0),Beg_Bal-Sched_Pay,IF(Pay_Num&lt;&gt;"",0,"")))</f>
        <v>0</v>
      </c>
      <c r="F332" s="33">
        <f>IF(AND(Pay_Num&lt;&gt;"",Sched_Pay+Extra_Pay&lt;Beg_Bal),Sched_Pay+Extra_Pay,IF(Pay_Num&lt;&gt;"",Beg_Bal,""))</f>
        <v>0</v>
      </c>
      <c r="G332" s="33">
        <f>IF(Pay_Num&lt;&gt;"",Total_Pay-Int,"")</f>
        <v>0</v>
      </c>
      <c r="H332" s="33">
        <f>IF(Pay_Num&lt;&gt;"",Beg_Bal*Interest_Rate/Num_Pmt_Per_Year,"")</f>
        <v>0</v>
      </c>
      <c r="I332" s="33">
        <f>IF(AND(Pay_Num&lt;&gt;"",Sched_Pay+Extra_Pay&lt;Beg_Bal),Beg_Bal-Princ,IF(Pay_Num&lt;&gt;"",0,""))</f>
        <v>0</v>
      </c>
      <c r="J332" s="33">
        <f>SUM($H$18:$H332)</f>
        <v>264024.10073253291</v>
      </c>
    </row>
    <row r="333" spans="1:10" x14ac:dyDescent="0.3">
      <c r="A333" s="36">
        <f>IF(Values_Entered,A332+1,"")</f>
        <v>316</v>
      </c>
      <c r="B333" s="35">
        <f>IF(Pay_Num&lt;&gt;"",DATE(YEAR(Loan_Start),MONTH(Loan_Start)+(Pay_Num)*12/Num_Pmt_Per_Year,DAY(Loan_Start)),"")</f>
        <v>55001</v>
      </c>
      <c r="C333" s="33">
        <f>IF(Pay_Num&lt;&gt;"",I332,"")</f>
        <v>0</v>
      </c>
      <c r="D333" s="33">
        <f>IF(Pay_Num&lt;&gt;"",Scheduled_Monthly_Payment,"")</f>
        <v>26333.835431927764</v>
      </c>
      <c r="E333" s="34">
        <f>IF(AND(Pay_Num&lt;&gt;"",Sched_Pay+Scheduled_Extra_Payments&lt;Beg_Bal),Scheduled_Extra_Payments,IF(AND(Pay_Num&lt;&gt;"",Beg_Bal-Sched_Pay&gt;0),Beg_Bal-Sched_Pay,IF(Pay_Num&lt;&gt;"",0,"")))</f>
        <v>0</v>
      </c>
      <c r="F333" s="33">
        <f>IF(AND(Pay_Num&lt;&gt;"",Sched_Pay+Extra_Pay&lt;Beg_Bal),Sched_Pay+Extra_Pay,IF(Pay_Num&lt;&gt;"",Beg_Bal,""))</f>
        <v>0</v>
      </c>
      <c r="G333" s="33">
        <f>IF(Pay_Num&lt;&gt;"",Total_Pay-Int,"")</f>
        <v>0</v>
      </c>
      <c r="H333" s="33">
        <f>IF(Pay_Num&lt;&gt;"",Beg_Bal*Interest_Rate/Num_Pmt_Per_Year,"")</f>
        <v>0</v>
      </c>
      <c r="I333" s="33">
        <f>IF(AND(Pay_Num&lt;&gt;"",Sched_Pay+Extra_Pay&lt;Beg_Bal),Beg_Bal-Princ,IF(Pay_Num&lt;&gt;"",0,""))</f>
        <v>0</v>
      </c>
      <c r="J333" s="33">
        <f>SUM($H$18:$H333)</f>
        <v>264024.10073253291</v>
      </c>
    </row>
    <row r="334" spans="1:10" x14ac:dyDescent="0.3">
      <c r="A334" s="36">
        <f>IF(Values_Entered,A333+1,"")</f>
        <v>317</v>
      </c>
      <c r="B334" s="35">
        <f>IF(Pay_Num&lt;&gt;"",DATE(YEAR(Loan_Start),MONTH(Loan_Start)+(Pay_Num)*12/Num_Pmt_Per_Year,DAY(Loan_Start)),"")</f>
        <v>55032</v>
      </c>
      <c r="C334" s="33">
        <f>IF(Pay_Num&lt;&gt;"",I333,"")</f>
        <v>0</v>
      </c>
      <c r="D334" s="33">
        <f>IF(Pay_Num&lt;&gt;"",Scheduled_Monthly_Payment,"")</f>
        <v>26333.835431927764</v>
      </c>
      <c r="E334" s="34">
        <f>IF(AND(Pay_Num&lt;&gt;"",Sched_Pay+Scheduled_Extra_Payments&lt;Beg_Bal),Scheduled_Extra_Payments,IF(AND(Pay_Num&lt;&gt;"",Beg_Bal-Sched_Pay&gt;0),Beg_Bal-Sched_Pay,IF(Pay_Num&lt;&gt;"",0,"")))</f>
        <v>0</v>
      </c>
      <c r="F334" s="33">
        <f>IF(AND(Pay_Num&lt;&gt;"",Sched_Pay+Extra_Pay&lt;Beg_Bal),Sched_Pay+Extra_Pay,IF(Pay_Num&lt;&gt;"",Beg_Bal,""))</f>
        <v>0</v>
      </c>
      <c r="G334" s="33">
        <f>IF(Pay_Num&lt;&gt;"",Total_Pay-Int,"")</f>
        <v>0</v>
      </c>
      <c r="H334" s="33">
        <f>IF(Pay_Num&lt;&gt;"",Beg_Bal*Interest_Rate/Num_Pmt_Per_Year,"")</f>
        <v>0</v>
      </c>
      <c r="I334" s="33">
        <f>IF(AND(Pay_Num&lt;&gt;"",Sched_Pay+Extra_Pay&lt;Beg_Bal),Beg_Bal-Princ,IF(Pay_Num&lt;&gt;"",0,""))</f>
        <v>0</v>
      </c>
      <c r="J334" s="33">
        <f>SUM($H$18:$H334)</f>
        <v>264024.10073253291</v>
      </c>
    </row>
    <row r="335" spans="1:10" x14ac:dyDescent="0.3">
      <c r="A335" s="36">
        <f>IF(Values_Entered,A334+1,"")</f>
        <v>318</v>
      </c>
      <c r="B335" s="35">
        <f>IF(Pay_Num&lt;&gt;"",DATE(YEAR(Loan_Start),MONTH(Loan_Start)+(Pay_Num)*12/Num_Pmt_Per_Year,DAY(Loan_Start)),"")</f>
        <v>55062</v>
      </c>
      <c r="C335" s="33">
        <f>IF(Pay_Num&lt;&gt;"",I334,"")</f>
        <v>0</v>
      </c>
      <c r="D335" s="33">
        <f>IF(Pay_Num&lt;&gt;"",Scheduled_Monthly_Payment,"")</f>
        <v>26333.835431927764</v>
      </c>
      <c r="E335" s="34">
        <f>IF(AND(Pay_Num&lt;&gt;"",Sched_Pay+Scheduled_Extra_Payments&lt;Beg_Bal),Scheduled_Extra_Payments,IF(AND(Pay_Num&lt;&gt;"",Beg_Bal-Sched_Pay&gt;0),Beg_Bal-Sched_Pay,IF(Pay_Num&lt;&gt;"",0,"")))</f>
        <v>0</v>
      </c>
      <c r="F335" s="33">
        <f>IF(AND(Pay_Num&lt;&gt;"",Sched_Pay+Extra_Pay&lt;Beg_Bal),Sched_Pay+Extra_Pay,IF(Pay_Num&lt;&gt;"",Beg_Bal,""))</f>
        <v>0</v>
      </c>
      <c r="G335" s="33">
        <f>IF(Pay_Num&lt;&gt;"",Total_Pay-Int,"")</f>
        <v>0</v>
      </c>
      <c r="H335" s="33">
        <f>IF(Pay_Num&lt;&gt;"",Beg_Bal*Interest_Rate/Num_Pmt_Per_Year,"")</f>
        <v>0</v>
      </c>
      <c r="I335" s="33">
        <f>IF(AND(Pay_Num&lt;&gt;"",Sched_Pay+Extra_Pay&lt;Beg_Bal),Beg_Bal-Princ,IF(Pay_Num&lt;&gt;"",0,""))</f>
        <v>0</v>
      </c>
      <c r="J335" s="33">
        <f>SUM($H$18:$H335)</f>
        <v>264024.10073253291</v>
      </c>
    </row>
    <row r="336" spans="1:10" x14ac:dyDescent="0.3">
      <c r="A336" s="36">
        <f>IF(Values_Entered,A335+1,"")</f>
        <v>319</v>
      </c>
      <c r="B336" s="35">
        <f>IF(Pay_Num&lt;&gt;"",DATE(YEAR(Loan_Start),MONTH(Loan_Start)+(Pay_Num)*12/Num_Pmt_Per_Year,DAY(Loan_Start)),"")</f>
        <v>55093</v>
      </c>
      <c r="C336" s="33">
        <f>IF(Pay_Num&lt;&gt;"",I335,"")</f>
        <v>0</v>
      </c>
      <c r="D336" s="33">
        <f>IF(Pay_Num&lt;&gt;"",Scheduled_Monthly_Payment,"")</f>
        <v>26333.835431927764</v>
      </c>
      <c r="E336" s="34">
        <f>IF(AND(Pay_Num&lt;&gt;"",Sched_Pay+Scheduled_Extra_Payments&lt;Beg_Bal),Scheduled_Extra_Payments,IF(AND(Pay_Num&lt;&gt;"",Beg_Bal-Sched_Pay&gt;0),Beg_Bal-Sched_Pay,IF(Pay_Num&lt;&gt;"",0,"")))</f>
        <v>0</v>
      </c>
      <c r="F336" s="33">
        <f>IF(AND(Pay_Num&lt;&gt;"",Sched_Pay+Extra_Pay&lt;Beg_Bal),Sched_Pay+Extra_Pay,IF(Pay_Num&lt;&gt;"",Beg_Bal,""))</f>
        <v>0</v>
      </c>
      <c r="G336" s="33">
        <f>IF(Pay_Num&lt;&gt;"",Total_Pay-Int,"")</f>
        <v>0</v>
      </c>
      <c r="H336" s="33">
        <f>IF(Pay_Num&lt;&gt;"",Beg_Bal*Interest_Rate/Num_Pmt_Per_Year,"")</f>
        <v>0</v>
      </c>
      <c r="I336" s="33">
        <f>IF(AND(Pay_Num&lt;&gt;"",Sched_Pay+Extra_Pay&lt;Beg_Bal),Beg_Bal-Princ,IF(Pay_Num&lt;&gt;"",0,""))</f>
        <v>0</v>
      </c>
      <c r="J336" s="33">
        <f>SUM($H$18:$H336)</f>
        <v>264024.10073253291</v>
      </c>
    </row>
    <row r="337" spans="1:10" x14ac:dyDescent="0.3">
      <c r="A337" s="36">
        <f>IF(Values_Entered,A336+1,"")</f>
        <v>320</v>
      </c>
      <c r="B337" s="35">
        <f>IF(Pay_Num&lt;&gt;"",DATE(YEAR(Loan_Start),MONTH(Loan_Start)+(Pay_Num)*12/Num_Pmt_Per_Year,DAY(Loan_Start)),"")</f>
        <v>55123</v>
      </c>
      <c r="C337" s="33">
        <f>IF(Pay_Num&lt;&gt;"",I336,"")</f>
        <v>0</v>
      </c>
      <c r="D337" s="33">
        <f>IF(Pay_Num&lt;&gt;"",Scheduled_Monthly_Payment,"")</f>
        <v>26333.835431927764</v>
      </c>
      <c r="E337" s="34">
        <f>IF(AND(Pay_Num&lt;&gt;"",Sched_Pay+Scheduled_Extra_Payments&lt;Beg_Bal),Scheduled_Extra_Payments,IF(AND(Pay_Num&lt;&gt;"",Beg_Bal-Sched_Pay&gt;0),Beg_Bal-Sched_Pay,IF(Pay_Num&lt;&gt;"",0,"")))</f>
        <v>0</v>
      </c>
      <c r="F337" s="33">
        <f>IF(AND(Pay_Num&lt;&gt;"",Sched_Pay+Extra_Pay&lt;Beg_Bal),Sched_Pay+Extra_Pay,IF(Pay_Num&lt;&gt;"",Beg_Bal,""))</f>
        <v>0</v>
      </c>
      <c r="G337" s="33">
        <f>IF(Pay_Num&lt;&gt;"",Total_Pay-Int,"")</f>
        <v>0</v>
      </c>
      <c r="H337" s="33">
        <f>IF(Pay_Num&lt;&gt;"",Beg_Bal*Interest_Rate/Num_Pmt_Per_Year,"")</f>
        <v>0</v>
      </c>
      <c r="I337" s="33">
        <f>IF(AND(Pay_Num&lt;&gt;"",Sched_Pay+Extra_Pay&lt;Beg_Bal),Beg_Bal-Princ,IF(Pay_Num&lt;&gt;"",0,""))</f>
        <v>0</v>
      </c>
      <c r="J337" s="33">
        <f>SUM($H$18:$H337)</f>
        <v>264024.10073253291</v>
      </c>
    </row>
    <row r="338" spans="1:10" x14ac:dyDescent="0.3">
      <c r="A338" s="36">
        <f>IF(Values_Entered,A337+1,"")</f>
        <v>321</v>
      </c>
      <c r="B338" s="35">
        <f>IF(Pay_Num&lt;&gt;"",DATE(YEAR(Loan_Start),MONTH(Loan_Start)+(Pay_Num)*12/Num_Pmt_Per_Year,DAY(Loan_Start)),"")</f>
        <v>55154</v>
      </c>
      <c r="C338" s="33">
        <f>IF(Pay_Num&lt;&gt;"",I337,"")</f>
        <v>0</v>
      </c>
      <c r="D338" s="33">
        <f>IF(Pay_Num&lt;&gt;"",Scheduled_Monthly_Payment,"")</f>
        <v>26333.835431927764</v>
      </c>
      <c r="E338" s="34">
        <f>IF(AND(Pay_Num&lt;&gt;"",Sched_Pay+Scheduled_Extra_Payments&lt;Beg_Bal),Scheduled_Extra_Payments,IF(AND(Pay_Num&lt;&gt;"",Beg_Bal-Sched_Pay&gt;0),Beg_Bal-Sched_Pay,IF(Pay_Num&lt;&gt;"",0,"")))</f>
        <v>0</v>
      </c>
      <c r="F338" s="33">
        <f>IF(AND(Pay_Num&lt;&gt;"",Sched_Pay+Extra_Pay&lt;Beg_Bal),Sched_Pay+Extra_Pay,IF(Pay_Num&lt;&gt;"",Beg_Bal,""))</f>
        <v>0</v>
      </c>
      <c r="G338" s="33">
        <f>IF(Pay_Num&lt;&gt;"",Total_Pay-Int,"")</f>
        <v>0</v>
      </c>
      <c r="H338" s="33">
        <f>IF(Pay_Num&lt;&gt;"",Beg_Bal*Interest_Rate/Num_Pmt_Per_Year,"")</f>
        <v>0</v>
      </c>
      <c r="I338" s="33">
        <f>IF(AND(Pay_Num&lt;&gt;"",Sched_Pay+Extra_Pay&lt;Beg_Bal),Beg_Bal-Princ,IF(Pay_Num&lt;&gt;"",0,""))</f>
        <v>0</v>
      </c>
      <c r="J338" s="33">
        <f>SUM($H$18:$H338)</f>
        <v>264024.10073253291</v>
      </c>
    </row>
    <row r="339" spans="1:10" x14ac:dyDescent="0.3">
      <c r="A339" s="36">
        <f>IF(Values_Entered,A338+1,"")</f>
        <v>322</v>
      </c>
      <c r="B339" s="35">
        <f>IF(Pay_Num&lt;&gt;"",DATE(YEAR(Loan_Start),MONTH(Loan_Start)+(Pay_Num)*12/Num_Pmt_Per_Year,DAY(Loan_Start)),"")</f>
        <v>55185</v>
      </c>
      <c r="C339" s="33">
        <f>IF(Pay_Num&lt;&gt;"",I338,"")</f>
        <v>0</v>
      </c>
      <c r="D339" s="33">
        <f>IF(Pay_Num&lt;&gt;"",Scheduled_Monthly_Payment,"")</f>
        <v>26333.835431927764</v>
      </c>
      <c r="E339" s="34">
        <f>IF(AND(Pay_Num&lt;&gt;"",Sched_Pay+Scheduled_Extra_Payments&lt;Beg_Bal),Scheduled_Extra_Payments,IF(AND(Pay_Num&lt;&gt;"",Beg_Bal-Sched_Pay&gt;0),Beg_Bal-Sched_Pay,IF(Pay_Num&lt;&gt;"",0,"")))</f>
        <v>0</v>
      </c>
      <c r="F339" s="33">
        <f>IF(AND(Pay_Num&lt;&gt;"",Sched_Pay+Extra_Pay&lt;Beg_Bal),Sched_Pay+Extra_Pay,IF(Pay_Num&lt;&gt;"",Beg_Bal,""))</f>
        <v>0</v>
      </c>
      <c r="G339" s="33">
        <f>IF(Pay_Num&lt;&gt;"",Total_Pay-Int,"")</f>
        <v>0</v>
      </c>
      <c r="H339" s="33">
        <f>IF(Pay_Num&lt;&gt;"",Beg_Bal*Interest_Rate/Num_Pmt_Per_Year,"")</f>
        <v>0</v>
      </c>
      <c r="I339" s="33">
        <f>IF(AND(Pay_Num&lt;&gt;"",Sched_Pay+Extra_Pay&lt;Beg_Bal),Beg_Bal-Princ,IF(Pay_Num&lt;&gt;"",0,""))</f>
        <v>0</v>
      </c>
      <c r="J339" s="33">
        <f>SUM($H$18:$H339)</f>
        <v>264024.10073253291</v>
      </c>
    </row>
    <row r="340" spans="1:10" x14ac:dyDescent="0.3">
      <c r="A340" s="36">
        <f>IF(Values_Entered,A339+1,"")</f>
        <v>323</v>
      </c>
      <c r="B340" s="35">
        <f>IF(Pay_Num&lt;&gt;"",DATE(YEAR(Loan_Start),MONTH(Loan_Start)+(Pay_Num)*12/Num_Pmt_Per_Year,DAY(Loan_Start)),"")</f>
        <v>55213</v>
      </c>
      <c r="C340" s="33">
        <f>IF(Pay_Num&lt;&gt;"",I339,"")</f>
        <v>0</v>
      </c>
      <c r="D340" s="33">
        <f>IF(Pay_Num&lt;&gt;"",Scheduled_Monthly_Payment,"")</f>
        <v>26333.835431927764</v>
      </c>
      <c r="E340" s="34">
        <f>IF(AND(Pay_Num&lt;&gt;"",Sched_Pay+Scheduled_Extra_Payments&lt;Beg_Bal),Scheduled_Extra_Payments,IF(AND(Pay_Num&lt;&gt;"",Beg_Bal-Sched_Pay&gt;0),Beg_Bal-Sched_Pay,IF(Pay_Num&lt;&gt;"",0,"")))</f>
        <v>0</v>
      </c>
      <c r="F340" s="33">
        <f>IF(AND(Pay_Num&lt;&gt;"",Sched_Pay+Extra_Pay&lt;Beg_Bal),Sched_Pay+Extra_Pay,IF(Pay_Num&lt;&gt;"",Beg_Bal,""))</f>
        <v>0</v>
      </c>
      <c r="G340" s="33">
        <f>IF(Pay_Num&lt;&gt;"",Total_Pay-Int,"")</f>
        <v>0</v>
      </c>
      <c r="H340" s="33">
        <f>IF(Pay_Num&lt;&gt;"",Beg_Bal*Interest_Rate/Num_Pmt_Per_Year,"")</f>
        <v>0</v>
      </c>
      <c r="I340" s="33">
        <f>IF(AND(Pay_Num&lt;&gt;"",Sched_Pay+Extra_Pay&lt;Beg_Bal),Beg_Bal-Princ,IF(Pay_Num&lt;&gt;"",0,""))</f>
        <v>0</v>
      </c>
      <c r="J340" s="33">
        <f>SUM($H$18:$H340)</f>
        <v>264024.10073253291</v>
      </c>
    </row>
    <row r="341" spans="1:10" x14ac:dyDescent="0.3">
      <c r="A341" s="36">
        <f>IF(Values_Entered,A340+1,"")</f>
        <v>324</v>
      </c>
      <c r="B341" s="35">
        <f>IF(Pay_Num&lt;&gt;"",DATE(YEAR(Loan_Start),MONTH(Loan_Start)+(Pay_Num)*12/Num_Pmt_Per_Year,DAY(Loan_Start)),"")</f>
        <v>55244</v>
      </c>
      <c r="C341" s="33">
        <f>IF(Pay_Num&lt;&gt;"",I340,"")</f>
        <v>0</v>
      </c>
      <c r="D341" s="33">
        <f>IF(Pay_Num&lt;&gt;"",Scheduled_Monthly_Payment,"")</f>
        <v>26333.835431927764</v>
      </c>
      <c r="E341" s="34">
        <f>IF(AND(Pay_Num&lt;&gt;"",Sched_Pay+Scheduled_Extra_Payments&lt;Beg_Bal),Scheduled_Extra_Payments,IF(AND(Pay_Num&lt;&gt;"",Beg_Bal-Sched_Pay&gt;0),Beg_Bal-Sched_Pay,IF(Pay_Num&lt;&gt;"",0,"")))</f>
        <v>0</v>
      </c>
      <c r="F341" s="33">
        <f>IF(AND(Pay_Num&lt;&gt;"",Sched_Pay+Extra_Pay&lt;Beg_Bal),Sched_Pay+Extra_Pay,IF(Pay_Num&lt;&gt;"",Beg_Bal,""))</f>
        <v>0</v>
      </c>
      <c r="G341" s="33">
        <f>IF(Pay_Num&lt;&gt;"",Total_Pay-Int,"")</f>
        <v>0</v>
      </c>
      <c r="H341" s="33">
        <f>IF(Pay_Num&lt;&gt;"",Beg_Bal*Interest_Rate/Num_Pmt_Per_Year,"")</f>
        <v>0</v>
      </c>
      <c r="I341" s="33">
        <f>IF(AND(Pay_Num&lt;&gt;"",Sched_Pay+Extra_Pay&lt;Beg_Bal),Beg_Bal-Princ,IF(Pay_Num&lt;&gt;"",0,""))</f>
        <v>0</v>
      </c>
      <c r="J341" s="33">
        <f>SUM($H$18:$H341)</f>
        <v>264024.10073253291</v>
      </c>
    </row>
    <row r="342" spans="1:10" x14ac:dyDescent="0.3">
      <c r="A342" s="36">
        <f>IF(Values_Entered,A341+1,"")</f>
        <v>325</v>
      </c>
      <c r="B342" s="35">
        <f>IF(Pay_Num&lt;&gt;"",DATE(YEAR(Loan_Start),MONTH(Loan_Start)+(Pay_Num)*12/Num_Pmt_Per_Year,DAY(Loan_Start)),"")</f>
        <v>55274</v>
      </c>
      <c r="C342" s="33">
        <f>IF(Pay_Num&lt;&gt;"",I341,"")</f>
        <v>0</v>
      </c>
      <c r="D342" s="33">
        <f>IF(Pay_Num&lt;&gt;"",Scheduled_Monthly_Payment,"")</f>
        <v>26333.835431927764</v>
      </c>
      <c r="E342" s="34">
        <f>IF(AND(Pay_Num&lt;&gt;"",Sched_Pay+Scheduled_Extra_Payments&lt;Beg_Bal),Scheduled_Extra_Payments,IF(AND(Pay_Num&lt;&gt;"",Beg_Bal-Sched_Pay&gt;0),Beg_Bal-Sched_Pay,IF(Pay_Num&lt;&gt;"",0,"")))</f>
        <v>0</v>
      </c>
      <c r="F342" s="33">
        <f>IF(AND(Pay_Num&lt;&gt;"",Sched_Pay+Extra_Pay&lt;Beg_Bal),Sched_Pay+Extra_Pay,IF(Pay_Num&lt;&gt;"",Beg_Bal,""))</f>
        <v>0</v>
      </c>
      <c r="G342" s="33">
        <f>IF(Pay_Num&lt;&gt;"",Total_Pay-Int,"")</f>
        <v>0</v>
      </c>
      <c r="H342" s="33">
        <f>IF(Pay_Num&lt;&gt;"",Beg_Bal*Interest_Rate/Num_Pmt_Per_Year,"")</f>
        <v>0</v>
      </c>
      <c r="I342" s="33">
        <f>IF(AND(Pay_Num&lt;&gt;"",Sched_Pay+Extra_Pay&lt;Beg_Bal),Beg_Bal-Princ,IF(Pay_Num&lt;&gt;"",0,""))</f>
        <v>0</v>
      </c>
      <c r="J342" s="33">
        <f>SUM($H$18:$H342)</f>
        <v>264024.10073253291</v>
      </c>
    </row>
    <row r="343" spans="1:10" x14ac:dyDescent="0.3">
      <c r="A343" s="36">
        <f>IF(Values_Entered,A342+1,"")</f>
        <v>326</v>
      </c>
      <c r="B343" s="35">
        <f>IF(Pay_Num&lt;&gt;"",DATE(YEAR(Loan_Start),MONTH(Loan_Start)+(Pay_Num)*12/Num_Pmt_Per_Year,DAY(Loan_Start)),"")</f>
        <v>55305</v>
      </c>
      <c r="C343" s="33">
        <f>IF(Pay_Num&lt;&gt;"",I342,"")</f>
        <v>0</v>
      </c>
      <c r="D343" s="33">
        <f>IF(Pay_Num&lt;&gt;"",Scheduled_Monthly_Payment,"")</f>
        <v>26333.835431927764</v>
      </c>
      <c r="E343" s="34">
        <f>IF(AND(Pay_Num&lt;&gt;"",Sched_Pay+Scheduled_Extra_Payments&lt;Beg_Bal),Scheduled_Extra_Payments,IF(AND(Pay_Num&lt;&gt;"",Beg_Bal-Sched_Pay&gt;0),Beg_Bal-Sched_Pay,IF(Pay_Num&lt;&gt;"",0,"")))</f>
        <v>0</v>
      </c>
      <c r="F343" s="33">
        <f>IF(AND(Pay_Num&lt;&gt;"",Sched_Pay+Extra_Pay&lt;Beg_Bal),Sched_Pay+Extra_Pay,IF(Pay_Num&lt;&gt;"",Beg_Bal,""))</f>
        <v>0</v>
      </c>
      <c r="G343" s="33">
        <f>IF(Pay_Num&lt;&gt;"",Total_Pay-Int,"")</f>
        <v>0</v>
      </c>
      <c r="H343" s="33">
        <f>IF(Pay_Num&lt;&gt;"",Beg_Bal*Interest_Rate/Num_Pmt_Per_Year,"")</f>
        <v>0</v>
      </c>
      <c r="I343" s="33">
        <f>IF(AND(Pay_Num&lt;&gt;"",Sched_Pay+Extra_Pay&lt;Beg_Bal),Beg_Bal-Princ,IF(Pay_Num&lt;&gt;"",0,""))</f>
        <v>0</v>
      </c>
      <c r="J343" s="33">
        <f>SUM($H$18:$H343)</f>
        <v>264024.10073253291</v>
      </c>
    </row>
    <row r="344" spans="1:10" x14ac:dyDescent="0.3">
      <c r="A344" s="36">
        <f>IF(Values_Entered,A343+1,"")</f>
        <v>327</v>
      </c>
      <c r="B344" s="35">
        <f>IF(Pay_Num&lt;&gt;"",DATE(YEAR(Loan_Start),MONTH(Loan_Start)+(Pay_Num)*12/Num_Pmt_Per_Year,DAY(Loan_Start)),"")</f>
        <v>55335</v>
      </c>
      <c r="C344" s="33">
        <f>IF(Pay_Num&lt;&gt;"",I343,"")</f>
        <v>0</v>
      </c>
      <c r="D344" s="33">
        <f>IF(Pay_Num&lt;&gt;"",Scheduled_Monthly_Payment,"")</f>
        <v>26333.835431927764</v>
      </c>
      <c r="E344" s="34">
        <f>IF(AND(Pay_Num&lt;&gt;"",Sched_Pay+Scheduled_Extra_Payments&lt;Beg_Bal),Scheduled_Extra_Payments,IF(AND(Pay_Num&lt;&gt;"",Beg_Bal-Sched_Pay&gt;0),Beg_Bal-Sched_Pay,IF(Pay_Num&lt;&gt;"",0,"")))</f>
        <v>0</v>
      </c>
      <c r="F344" s="33">
        <f>IF(AND(Pay_Num&lt;&gt;"",Sched_Pay+Extra_Pay&lt;Beg_Bal),Sched_Pay+Extra_Pay,IF(Pay_Num&lt;&gt;"",Beg_Bal,""))</f>
        <v>0</v>
      </c>
      <c r="G344" s="33">
        <f>IF(Pay_Num&lt;&gt;"",Total_Pay-Int,"")</f>
        <v>0</v>
      </c>
      <c r="H344" s="33">
        <f>IF(Pay_Num&lt;&gt;"",Beg_Bal*Interest_Rate/Num_Pmt_Per_Year,"")</f>
        <v>0</v>
      </c>
      <c r="I344" s="33">
        <f>IF(AND(Pay_Num&lt;&gt;"",Sched_Pay+Extra_Pay&lt;Beg_Bal),Beg_Bal-Princ,IF(Pay_Num&lt;&gt;"",0,""))</f>
        <v>0</v>
      </c>
      <c r="J344" s="33">
        <f>SUM($H$18:$H344)</f>
        <v>264024.10073253291</v>
      </c>
    </row>
    <row r="345" spans="1:10" x14ac:dyDescent="0.3">
      <c r="A345" s="36">
        <f>IF(Values_Entered,A344+1,"")</f>
        <v>328</v>
      </c>
      <c r="B345" s="35">
        <f>IF(Pay_Num&lt;&gt;"",DATE(YEAR(Loan_Start),MONTH(Loan_Start)+(Pay_Num)*12/Num_Pmt_Per_Year,DAY(Loan_Start)),"")</f>
        <v>55366</v>
      </c>
      <c r="C345" s="33">
        <f>IF(Pay_Num&lt;&gt;"",I344,"")</f>
        <v>0</v>
      </c>
      <c r="D345" s="33">
        <f>IF(Pay_Num&lt;&gt;"",Scheduled_Monthly_Payment,"")</f>
        <v>26333.835431927764</v>
      </c>
      <c r="E345" s="34">
        <f>IF(AND(Pay_Num&lt;&gt;"",Sched_Pay+Scheduled_Extra_Payments&lt;Beg_Bal),Scheduled_Extra_Payments,IF(AND(Pay_Num&lt;&gt;"",Beg_Bal-Sched_Pay&gt;0),Beg_Bal-Sched_Pay,IF(Pay_Num&lt;&gt;"",0,"")))</f>
        <v>0</v>
      </c>
      <c r="F345" s="33">
        <f>IF(AND(Pay_Num&lt;&gt;"",Sched_Pay+Extra_Pay&lt;Beg_Bal),Sched_Pay+Extra_Pay,IF(Pay_Num&lt;&gt;"",Beg_Bal,""))</f>
        <v>0</v>
      </c>
      <c r="G345" s="33">
        <f>IF(Pay_Num&lt;&gt;"",Total_Pay-Int,"")</f>
        <v>0</v>
      </c>
      <c r="H345" s="33">
        <f>IF(Pay_Num&lt;&gt;"",Beg_Bal*Interest_Rate/Num_Pmt_Per_Year,"")</f>
        <v>0</v>
      </c>
      <c r="I345" s="33">
        <f>IF(AND(Pay_Num&lt;&gt;"",Sched_Pay+Extra_Pay&lt;Beg_Bal),Beg_Bal-Princ,IF(Pay_Num&lt;&gt;"",0,""))</f>
        <v>0</v>
      </c>
      <c r="J345" s="33">
        <f>SUM($H$18:$H345)</f>
        <v>264024.10073253291</v>
      </c>
    </row>
    <row r="346" spans="1:10" x14ac:dyDescent="0.3">
      <c r="A346" s="36">
        <f>IF(Values_Entered,A345+1,"")</f>
        <v>329</v>
      </c>
      <c r="B346" s="35">
        <f>IF(Pay_Num&lt;&gt;"",DATE(YEAR(Loan_Start),MONTH(Loan_Start)+(Pay_Num)*12/Num_Pmt_Per_Year,DAY(Loan_Start)),"")</f>
        <v>55397</v>
      </c>
      <c r="C346" s="33">
        <f>IF(Pay_Num&lt;&gt;"",I345,"")</f>
        <v>0</v>
      </c>
      <c r="D346" s="33">
        <f>IF(Pay_Num&lt;&gt;"",Scheduled_Monthly_Payment,"")</f>
        <v>26333.835431927764</v>
      </c>
      <c r="E346" s="34">
        <f>IF(AND(Pay_Num&lt;&gt;"",Sched_Pay+Scheduled_Extra_Payments&lt;Beg_Bal),Scheduled_Extra_Payments,IF(AND(Pay_Num&lt;&gt;"",Beg_Bal-Sched_Pay&gt;0),Beg_Bal-Sched_Pay,IF(Pay_Num&lt;&gt;"",0,"")))</f>
        <v>0</v>
      </c>
      <c r="F346" s="33">
        <f>IF(AND(Pay_Num&lt;&gt;"",Sched_Pay+Extra_Pay&lt;Beg_Bal),Sched_Pay+Extra_Pay,IF(Pay_Num&lt;&gt;"",Beg_Bal,""))</f>
        <v>0</v>
      </c>
      <c r="G346" s="33">
        <f>IF(Pay_Num&lt;&gt;"",Total_Pay-Int,"")</f>
        <v>0</v>
      </c>
      <c r="H346" s="33">
        <f>IF(Pay_Num&lt;&gt;"",Beg_Bal*Interest_Rate/Num_Pmt_Per_Year,"")</f>
        <v>0</v>
      </c>
      <c r="I346" s="33">
        <f>IF(AND(Pay_Num&lt;&gt;"",Sched_Pay+Extra_Pay&lt;Beg_Bal),Beg_Bal-Princ,IF(Pay_Num&lt;&gt;"",0,""))</f>
        <v>0</v>
      </c>
      <c r="J346" s="33">
        <f>SUM($H$18:$H346)</f>
        <v>264024.10073253291</v>
      </c>
    </row>
    <row r="347" spans="1:10" x14ac:dyDescent="0.3">
      <c r="A347" s="36">
        <f>IF(Values_Entered,A346+1,"")</f>
        <v>330</v>
      </c>
      <c r="B347" s="35">
        <f>IF(Pay_Num&lt;&gt;"",DATE(YEAR(Loan_Start),MONTH(Loan_Start)+(Pay_Num)*12/Num_Pmt_Per_Year,DAY(Loan_Start)),"")</f>
        <v>55427</v>
      </c>
      <c r="C347" s="33">
        <f>IF(Pay_Num&lt;&gt;"",I346,"")</f>
        <v>0</v>
      </c>
      <c r="D347" s="33">
        <f>IF(Pay_Num&lt;&gt;"",Scheduled_Monthly_Payment,"")</f>
        <v>26333.835431927764</v>
      </c>
      <c r="E347" s="34">
        <f>IF(AND(Pay_Num&lt;&gt;"",Sched_Pay+Scheduled_Extra_Payments&lt;Beg_Bal),Scheduled_Extra_Payments,IF(AND(Pay_Num&lt;&gt;"",Beg_Bal-Sched_Pay&gt;0),Beg_Bal-Sched_Pay,IF(Pay_Num&lt;&gt;"",0,"")))</f>
        <v>0</v>
      </c>
      <c r="F347" s="33">
        <f>IF(AND(Pay_Num&lt;&gt;"",Sched_Pay+Extra_Pay&lt;Beg_Bal),Sched_Pay+Extra_Pay,IF(Pay_Num&lt;&gt;"",Beg_Bal,""))</f>
        <v>0</v>
      </c>
      <c r="G347" s="33">
        <f>IF(Pay_Num&lt;&gt;"",Total_Pay-Int,"")</f>
        <v>0</v>
      </c>
      <c r="H347" s="33">
        <f>IF(Pay_Num&lt;&gt;"",Beg_Bal*Interest_Rate/Num_Pmt_Per_Year,"")</f>
        <v>0</v>
      </c>
      <c r="I347" s="33">
        <f>IF(AND(Pay_Num&lt;&gt;"",Sched_Pay+Extra_Pay&lt;Beg_Bal),Beg_Bal-Princ,IF(Pay_Num&lt;&gt;"",0,""))</f>
        <v>0</v>
      </c>
      <c r="J347" s="33">
        <f>SUM($H$18:$H347)</f>
        <v>264024.10073253291</v>
      </c>
    </row>
    <row r="348" spans="1:10" x14ac:dyDescent="0.3">
      <c r="A348" s="36">
        <f>IF(Values_Entered,A347+1,"")</f>
        <v>331</v>
      </c>
      <c r="B348" s="35">
        <f>IF(Pay_Num&lt;&gt;"",DATE(YEAR(Loan_Start),MONTH(Loan_Start)+(Pay_Num)*12/Num_Pmt_Per_Year,DAY(Loan_Start)),"")</f>
        <v>55458</v>
      </c>
      <c r="C348" s="33">
        <f>IF(Pay_Num&lt;&gt;"",I347,"")</f>
        <v>0</v>
      </c>
      <c r="D348" s="33">
        <f>IF(Pay_Num&lt;&gt;"",Scheduled_Monthly_Payment,"")</f>
        <v>26333.835431927764</v>
      </c>
      <c r="E348" s="34">
        <f>IF(AND(Pay_Num&lt;&gt;"",Sched_Pay+Scheduled_Extra_Payments&lt;Beg_Bal),Scheduled_Extra_Payments,IF(AND(Pay_Num&lt;&gt;"",Beg_Bal-Sched_Pay&gt;0),Beg_Bal-Sched_Pay,IF(Pay_Num&lt;&gt;"",0,"")))</f>
        <v>0</v>
      </c>
      <c r="F348" s="33">
        <f>IF(AND(Pay_Num&lt;&gt;"",Sched_Pay+Extra_Pay&lt;Beg_Bal),Sched_Pay+Extra_Pay,IF(Pay_Num&lt;&gt;"",Beg_Bal,""))</f>
        <v>0</v>
      </c>
      <c r="G348" s="33">
        <f>IF(Pay_Num&lt;&gt;"",Total_Pay-Int,"")</f>
        <v>0</v>
      </c>
      <c r="H348" s="33">
        <f>IF(Pay_Num&lt;&gt;"",Beg_Bal*Interest_Rate/Num_Pmt_Per_Year,"")</f>
        <v>0</v>
      </c>
      <c r="I348" s="33">
        <f>IF(AND(Pay_Num&lt;&gt;"",Sched_Pay+Extra_Pay&lt;Beg_Bal),Beg_Bal-Princ,IF(Pay_Num&lt;&gt;"",0,""))</f>
        <v>0</v>
      </c>
      <c r="J348" s="33">
        <f>SUM($H$18:$H348)</f>
        <v>264024.10073253291</v>
      </c>
    </row>
    <row r="349" spans="1:10" x14ac:dyDescent="0.3">
      <c r="A349" s="36">
        <f>IF(Values_Entered,A348+1,"")</f>
        <v>332</v>
      </c>
      <c r="B349" s="35">
        <f>IF(Pay_Num&lt;&gt;"",DATE(YEAR(Loan_Start),MONTH(Loan_Start)+(Pay_Num)*12/Num_Pmt_Per_Year,DAY(Loan_Start)),"")</f>
        <v>55488</v>
      </c>
      <c r="C349" s="33">
        <f>IF(Pay_Num&lt;&gt;"",I348,"")</f>
        <v>0</v>
      </c>
      <c r="D349" s="33">
        <f>IF(Pay_Num&lt;&gt;"",Scheduled_Monthly_Payment,"")</f>
        <v>26333.835431927764</v>
      </c>
      <c r="E349" s="34">
        <f>IF(AND(Pay_Num&lt;&gt;"",Sched_Pay+Scheduled_Extra_Payments&lt;Beg_Bal),Scheduled_Extra_Payments,IF(AND(Pay_Num&lt;&gt;"",Beg_Bal-Sched_Pay&gt;0),Beg_Bal-Sched_Pay,IF(Pay_Num&lt;&gt;"",0,"")))</f>
        <v>0</v>
      </c>
      <c r="F349" s="33">
        <f>IF(AND(Pay_Num&lt;&gt;"",Sched_Pay+Extra_Pay&lt;Beg_Bal),Sched_Pay+Extra_Pay,IF(Pay_Num&lt;&gt;"",Beg_Bal,""))</f>
        <v>0</v>
      </c>
      <c r="G349" s="33">
        <f>IF(Pay_Num&lt;&gt;"",Total_Pay-Int,"")</f>
        <v>0</v>
      </c>
      <c r="H349" s="33">
        <f>IF(Pay_Num&lt;&gt;"",Beg_Bal*Interest_Rate/Num_Pmt_Per_Year,"")</f>
        <v>0</v>
      </c>
      <c r="I349" s="33">
        <f>IF(AND(Pay_Num&lt;&gt;"",Sched_Pay+Extra_Pay&lt;Beg_Bal),Beg_Bal-Princ,IF(Pay_Num&lt;&gt;"",0,""))</f>
        <v>0</v>
      </c>
      <c r="J349" s="33">
        <f>SUM($H$18:$H349)</f>
        <v>264024.10073253291</v>
      </c>
    </row>
    <row r="350" spans="1:10" x14ac:dyDescent="0.3">
      <c r="A350" s="36">
        <f>IF(Values_Entered,A349+1,"")</f>
        <v>333</v>
      </c>
      <c r="B350" s="35">
        <f>IF(Pay_Num&lt;&gt;"",DATE(YEAR(Loan_Start),MONTH(Loan_Start)+(Pay_Num)*12/Num_Pmt_Per_Year,DAY(Loan_Start)),"")</f>
        <v>55519</v>
      </c>
      <c r="C350" s="33">
        <f>IF(Pay_Num&lt;&gt;"",I349,"")</f>
        <v>0</v>
      </c>
      <c r="D350" s="33">
        <f>IF(Pay_Num&lt;&gt;"",Scheduled_Monthly_Payment,"")</f>
        <v>26333.835431927764</v>
      </c>
      <c r="E350" s="34">
        <f>IF(AND(Pay_Num&lt;&gt;"",Sched_Pay+Scheduled_Extra_Payments&lt;Beg_Bal),Scheduled_Extra_Payments,IF(AND(Pay_Num&lt;&gt;"",Beg_Bal-Sched_Pay&gt;0),Beg_Bal-Sched_Pay,IF(Pay_Num&lt;&gt;"",0,"")))</f>
        <v>0</v>
      </c>
      <c r="F350" s="33">
        <f>IF(AND(Pay_Num&lt;&gt;"",Sched_Pay+Extra_Pay&lt;Beg_Bal),Sched_Pay+Extra_Pay,IF(Pay_Num&lt;&gt;"",Beg_Bal,""))</f>
        <v>0</v>
      </c>
      <c r="G350" s="33">
        <f>IF(Pay_Num&lt;&gt;"",Total_Pay-Int,"")</f>
        <v>0</v>
      </c>
      <c r="H350" s="33">
        <f>IF(Pay_Num&lt;&gt;"",Beg_Bal*Interest_Rate/Num_Pmt_Per_Year,"")</f>
        <v>0</v>
      </c>
      <c r="I350" s="33">
        <f>IF(AND(Pay_Num&lt;&gt;"",Sched_Pay+Extra_Pay&lt;Beg_Bal),Beg_Bal-Princ,IF(Pay_Num&lt;&gt;"",0,""))</f>
        <v>0</v>
      </c>
      <c r="J350" s="33">
        <f>SUM($H$18:$H350)</f>
        <v>264024.10073253291</v>
      </c>
    </row>
    <row r="351" spans="1:10" x14ac:dyDescent="0.3">
      <c r="A351" s="36">
        <f>IF(Values_Entered,A350+1,"")</f>
        <v>334</v>
      </c>
      <c r="B351" s="35">
        <f>IF(Pay_Num&lt;&gt;"",DATE(YEAR(Loan_Start),MONTH(Loan_Start)+(Pay_Num)*12/Num_Pmt_Per_Year,DAY(Loan_Start)),"")</f>
        <v>55550</v>
      </c>
      <c r="C351" s="33">
        <f>IF(Pay_Num&lt;&gt;"",I350,"")</f>
        <v>0</v>
      </c>
      <c r="D351" s="33">
        <f>IF(Pay_Num&lt;&gt;"",Scheduled_Monthly_Payment,"")</f>
        <v>26333.835431927764</v>
      </c>
      <c r="E351" s="34">
        <f>IF(AND(Pay_Num&lt;&gt;"",Sched_Pay+Scheduled_Extra_Payments&lt;Beg_Bal),Scheduled_Extra_Payments,IF(AND(Pay_Num&lt;&gt;"",Beg_Bal-Sched_Pay&gt;0),Beg_Bal-Sched_Pay,IF(Pay_Num&lt;&gt;"",0,"")))</f>
        <v>0</v>
      </c>
      <c r="F351" s="33">
        <f>IF(AND(Pay_Num&lt;&gt;"",Sched_Pay+Extra_Pay&lt;Beg_Bal),Sched_Pay+Extra_Pay,IF(Pay_Num&lt;&gt;"",Beg_Bal,""))</f>
        <v>0</v>
      </c>
      <c r="G351" s="33">
        <f>IF(Pay_Num&lt;&gt;"",Total_Pay-Int,"")</f>
        <v>0</v>
      </c>
      <c r="H351" s="33">
        <f>IF(Pay_Num&lt;&gt;"",Beg_Bal*Interest_Rate/Num_Pmt_Per_Year,"")</f>
        <v>0</v>
      </c>
      <c r="I351" s="33">
        <f>IF(AND(Pay_Num&lt;&gt;"",Sched_Pay+Extra_Pay&lt;Beg_Bal),Beg_Bal-Princ,IF(Pay_Num&lt;&gt;"",0,""))</f>
        <v>0</v>
      </c>
      <c r="J351" s="33">
        <f>SUM($H$18:$H351)</f>
        <v>264024.10073253291</v>
      </c>
    </row>
    <row r="352" spans="1:10" x14ac:dyDescent="0.3">
      <c r="A352" s="36">
        <f>IF(Values_Entered,A351+1,"")</f>
        <v>335</v>
      </c>
      <c r="B352" s="35">
        <f>IF(Pay_Num&lt;&gt;"",DATE(YEAR(Loan_Start),MONTH(Loan_Start)+(Pay_Num)*12/Num_Pmt_Per_Year,DAY(Loan_Start)),"")</f>
        <v>55579</v>
      </c>
      <c r="C352" s="33">
        <f>IF(Pay_Num&lt;&gt;"",I351,"")</f>
        <v>0</v>
      </c>
      <c r="D352" s="33">
        <f>IF(Pay_Num&lt;&gt;"",Scheduled_Monthly_Payment,"")</f>
        <v>26333.835431927764</v>
      </c>
      <c r="E352" s="34">
        <f>IF(AND(Pay_Num&lt;&gt;"",Sched_Pay+Scheduled_Extra_Payments&lt;Beg_Bal),Scheduled_Extra_Payments,IF(AND(Pay_Num&lt;&gt;"",Beg_Bal-Sched_Pay&gt;0),Beg_Bal-Sched_Pay,IF(Pay_Num&lt;&gt;"",0,"")))</f>
        <v>0</v>
      </c>
      <c r="F352" s="33">
        <f>IF(AND(Pay_Num&lt;&gt;"",Sched_Pay+Extra_Pay&lt;Beg_Bal),Sched_Pay+Extra_Pay,IF(Pay_Num&lt;&gt;"",Beg_Bal,""))</f>
        <v>0</v>
      </c>
      <c r="G352" s="33">
        <f>IF(Pay_Num&lt;&gt;"",Total_Pay-Int,"")</f>
        <v>0</v>
      </c>
      <c r="H352" s="33">
        <f>IF(Pay_Num&lt;&gt;"",Beg_Bal*Interest_Rate/Num_Pmt_Per_Year,"")</f>
        <v>0</v>
      </c>
      <c r="I352" s="33">
        <f>IF(AND(Pay_Num&lt;&gt;"",Sched_Pay+Extra_Pay&lt;Beg_Bal),Beg_Bal-Princ,IF(Pay_Num&lt;&gt;"",0,""))</f>
        <v>0</v>
      </c>
      <c r="J352" s="33">
        <f>SUM($H$18:$H352)</f>
        <v>264024.10073253291</v>
      </c>
    </row>
    <row r="353" spans="1:10" x14ac:dyDescent="0.3">
      <c r="A353" s="36">
        <f>IF(Values_Entered,A352+1,"")</f>
        <v>336</v>
      </c>
      <c r="B353" s="35">
        <f>IF(Pay_Num&lt;&gt;"",DATE(YEAR(Loan_Start),MONTH(Loan_Start)+(Pay_Num)*12/Num_Pmt_Per_Year,DAY(Loan_Start)),"")</f>
        <v>55610</v>
      </c>
      <c r="C353" s="33">
        <f>IF(Pay_Num&lt;&gt;"",I352,"")</f>
        <v>0</v>
      </c>
      <c r="D353" s="33">
        <f>IF(Pay_Num&lt;&gt;"",Scheduled_Monthly_Payment,"")</f>
        <v>26333.835431927764</v>
      </c>
      <c r="E353" s="34">
        <f>IF(AND(Pay_Num&lt;&gt;"",Sched_Pay+Scheduled_Extra_Payments&lt;Beg_Bal),Scheduled_Extra_Payments,IF(AND(Pay_Num&lt;&gt;"",Beg_Bal-Sched_Pay&gt;0),Beg_Bal-Sched_Pay,IF(Pay_Num&lt;&gt;"",0,"")))</f>
        <v>0</v>
      </c>
      <c r="F353" s="33">
        <f>IF(AND(Pay_Num&lt;&gt;"",Sched_Pay+Extra_Pay&lt;Beg_Bal),Sched_Pay+Extra_Pay,IF(Pay_Num&lt;&gt;"",Beg_Bal,""))</f>
        <v>0</v>
      </c>
      <c r="G353" s="33">
        <f>IF(Pay_Num&lt;&gt;"",Total_Pay-Int,"")</f>
        <v>0</v>
      </c>
      <c r="H353" s="33">
        <f>IF(Pay_Num&lt;&gt;"",Beg_Bal*Interest_Rate/Num_Pmt_Per_Year,"")</f>
        <v>0</v>
      </c>
      <c r="I353" s="33">
        <f>IF(AND(Pay_Num&lt;&gt;"",Sched_Pay+Extra_Pay&lt;Beg_Bal),Beg_Bal-Princ,IF(Pay_Num&lt;&gt;"",0,""))</f>
        <v>0</v>
      </c>
      <c r="J353" s="33">
        <f>SUM($H$18:$H353)</f>
        <v>264024.10073253291</v>
      </c>
    </row>
    <row r="354" spans="1:10" x14ac:dyDescent="0.3">
      <c r="A354" s="36">
        <f>IF(Values_Entered,A353+1,"")</f>
        <v>337</v>
      </c>
      <c r="B354" s="35">
        <f>IF(Pay_Num&lt;&gt;"",DATE(YEAR(Loan_Start),MONTH(Loan_Start)+(Pay_Num)*12/Num_Pmt_Per_Year,DAY(Loan_Start)),"")</f>
        <v>55640</v>
      </c>
      <c r="C354" s="33">
        <f>IF(Pay_Num&lt;&gt;"",I353,"")</f>
        <v>0</v>
      </c>
      <c r="D354" s="33">
        <f>IF(Pay_Num&lt;&gt;"",Scheduled_Monthly_Payment,"")</f>
        <v>26333.835431927764</v>
      </c>
      <c r="E354" s="34">
        <f>IF(AND(Pay_Num&lt;&gt;"",Sched_Pay+Scheduled_Extra_Payments&lt;Beg_Bal),Scheduled_Extra_Payments,IF(AND(Pay_Num&lt;&gt;"",Beg_Bal-Sched_Pay&gt;0),Beg_Bal-Sched_Pay,IF(Pay_Num&lt;&gt;"",0,"")))</f>
        <v>0</v>
      </c>
      <c r="F354" s="33">
        <f>IF(AND(Pay_Num&lt;&gt;"",Sched_Pay+Extra_Pay&lt;Beg_Bal),Sched_Pay+Extra_Pay,IF(Pay_Num&lt;&gt;"",Beg_Bal,""))</f>
        <v>0</v>
      </c>
      <c r="G354" s="33">
        <f>IF(Pay_Num&lt;&gt;"",Total_Pay-Int,"")</f>
        <v>0</v>
      </c>
      <c r="H354" s="33">
        <f>IF(Pay_Num&lt;&gt;"",Beg_Bal*Interest_Rate/Num_Pmt_Per_Year,"")</f>
        <v>0</v>
      </c>
      <c r="I354" s="33">
        <f>IF(AND(Pay_Num&lt;&gt;"",Sched_Pay+Extra_Pay&lt;Beg_Bal),Beg_Bal-Princ,IF(Pay_Num&lt;&gt;"",0,""))</f>
        <v>0</v>
      </c>
      <c r="J354" s="33">
        <f>SUM($H$18:$H354)</f>
        <v>264024.10073253291</v>
      </c>
    </row>
    <row r="355" spans="1:10" x14ac:dyDescent="0.3">
      <c r="A355" s="36">
        <f>IF(Values_Entered,A354+1,"")</f>
        <v>338</v>
      </c>
      <c r="B355" s="35">
        <f>IF(Pay_Num&lt;&gt;"",DATE(YEAR(Loan_Start),MONTH(Loan_Start)+(Pay_Num)*12/Num_Pmt_Per_Year,DAY(Loan_Start)),"")</f>
        <v>55671</v>
      </c>
      <c r="C355" s="33">
        <f>IF(Pay_Num&lt;&gt;"",I354,"")</f>
        <v>0</v>
      </c>
      <c r="D355" s="33">
        <f>IF(Pay_Num&lt;&gt;"",Scheduled_Monthly_Payment,"")</f>
        <v>26333.835431927764</v>
      </c>
      <c r="E355" s="34">
        <f>IF(AND(Pay_Num&lt;&gt;"",Sched_Pay+Scheduled_Extra_Payments&lt;Beg_Bal),Scheduled_Extra_Payments,IF(AND(Pay_Num&lt;&gt;"",Beg_Bal-Sched_Pay&gt;0),Beg_Bal-Sched_Pay,IF(Pay_Num&lt;&gt;"",0,"")))</f>
        <v>0</v>
      </c>
      <c r="F355" s="33">
        <f>IF(AND(Pay_Num&lt;&gt;"",Sched_Pay+Extra_Pay&lt;Beg_Bal),Sched_Pay+Extra_Pay,IF(Pay_Num&lt;&gt;"",Beg_Bal,""))</f>
        <v>0</v>
      </c>
      <c r="G355" s="33">
        <f>IF(Pay_Num&lt;&gt;"",Total_Pay-Int,"")</f>
        <v>0</v>
      </c>
      <c r="H355" s="33">
        <f>IF(Pay_Num&lt;&gt;"",Beg_Bal*Interest_Rate/Num_Pmt_Per_Year,"")</f>
        <v>0</v>
      </c>
      <c r="I355" s="33">
        <f>IF(AND(Pay_Num&lt;&gt;"",Sched_Pay+Extra_Pay&lt;Beg_Bal),Beg_Bal-Princ,IF(Pay_Num&lt;&gt;"",0,""))</f>
        <v>0</v>
      </c>
      <c r="J355" s="33">
        <f>SUM($H$18:$H355)</f>
        <v>264024.10073253291</v>
      </c>
    </row>
    <row r="356" spans="1:10" x14ac:dyDescent="0.3">
      <c r="A356" s="36">
        <f>IF(Values_Entered,A355+1,"")</f>
        <v>339</v>
      </c>
      <c r="B356" s="35">
        <f>IF(Pay_Num&lt;&gt;"",DATE(YEAR(Loan_Start),MONTH(Loan_Start)+(Pay_Num)*12/Num_Pmt_Per_Year,DAY(Loan_Start)),"")</f>
        <v>55701</v>
      </c>
      <c r="C356" s="33">
        <f>IF(Pay_Num&lt;&gt;"",I355,"")</f>
        <v>0</v>
      </c>
      <c r="D356" s="33">
        <f>IF(Pay_Num&lt;&gt;"",Scheduled_Monthly_Payment,"")</f>
        <v>26333.835431927764</v>
      </c>
      <c r="E356" s="34">
        <f>IF(AND(Pay_Num&lt;&gt;"",Sched_Pay+Scheduled_Extra_Payments&lt;Beg_Bal),Scheduled_Extra_Payments,IF(AND(Pay_Num&lt;&gt;"",Beg_Bal-Sched_Pay&gt;0),Beg_Bal-Sched_Pay,IF(Pay_Num&lt;&gt;"",0,"")))</f>
        <v>0</v>
      </c>
      <c r="F356" s="33">
        <f>IF(AND(Pay_Num&lt;&gt;"",Sched_Pay+Extra_Pay&lt;Beg_Bal),Sched_Pay+Extra_Pay,IF(Pay_Num&lt;&gt;"",Beg_Bal,""))</f>
        <v>0</v>
      </c>
      <c r="G356" s="33">
        <f>IF(Pay_Num&lt;&gt;"",Total_Pay-Int,"")</f>
        <v>0</v>
      </c>
      <c r="H356" s="33">
        <f>IF(Pay_Num&lt;&gt;"",Beg_Bal*Interest_Rate/Num_Pmt_Per_Year,"")</f>
        <v>0</v>
      </c>
      <c r="I356" s="33">
        <f>IF(AND(Pay_Num&lt;&gt;"",Sched_Pay+Extra_Pay&lt;Beg_Bal),Beg_Bal-Princ,IF(Pay_Num&lt;&gt;"",0,""))</f>
        <v>0</v>
      </c>
      <c r="J356" s="33">
        <f>SUM($H$18:$H356)</f>
        <v>264024.10073253291</v>
      </c>
    </row>
    <row r="357" spans="1:10" x14ac:dyDescent="0.3">
      <c r="A357" s="36">
        <f>IF(Values_Entered,A356+1,"")</f>
        <v>340</v>
      </c>
      <c r="B357" s="35">
        <f>IF(Pay_Num&lt;&gt;"",DATE(YEAR(Loan_Start),MONTH(Loan_Start)+(Pay_Num)*12/Num_Pmt_Per_Year,DAY(Loan_Start)),"")</f>
        <v>55732</v>
      </c>
      <c r="C357" s="33">
        <f>IF(Pay_Num&lt;&gt;"",I356,"")</f>
        <v>0</v>
      </c>
      <c r="D357" s="33">
        <f>IF(Pay_Num&lt;&gt;"",Scheduled_Monthly_Payment,"")</f>
        <v>26333.835431927764</v>
      </c>
      <c r="E357" s="34">
        <f>IF(AND(Pay_Num&lt;&gt;"",Sched_Pay+Scheduled_Extra_Payments&lt;Beg_Bal),Scheduled_Extra_Payments,IF(AND(Pay_Num&lt;&gt;"",Beg_Bal-Sched_Pay&gt;0),Beg_Bal-Sched_Pay,IF(Pay_Num&lt;&gt;"",0,"")))</f>
        <v>0</v>
      </c>
      <c r="F357" s="33">
        <f>IF(AND(Pay_Num&lt;&gt;"",Sched_Pay+Extra_Pay&lt;Beg_Bal),Sched_Pay+Extra_Pay,IF(Pay_Num&lt;&gt;"",Beg_Bal,""))</f>
        <v>0</v>
      </c>
      <c r="G357" s="33">
        <f>IF(Pay_Num&lt;&gt;"",Total_Pay-Int,"")</f>
        <v>0</v>
      </c>
      <c r="H357" s="33">
        <f>IF(Pay_Num&lt;&gt;"",Beg_Bal*Interest_Rate/Num_Pmt_Per_Year,"")</f>
        <v>0</v>
      </c>
      <c r="I357" s="33">
        <f>IF(AND(Pay_Num&lt;&gt;"",Sched_Pay+Extra_Pay&lt;Beg_Bal),Beg_Bal-Princ,IF(Pay_Num&lt;&gt;"",0,""))</f>
        <v>0</v>
      </c>
      <c r="J357" s="33">
        <f>SUM($H$18:$H357)</f>
        <v>264024.10073253291</v>
      </c>
    </row>
    <row r="358" spans="1:10" x14ac:dyDescent="0.3">
      <c r="A358" s="36">
        <f>IF(Values_Entered,A357+1,"")</f>
        <v>341</v>
      </c>
      <c r="B358" s="35">
        <f>IF(Pay_Num&lt;&gt;"",DATE(YEAR(Loan_Start),MONTH(Loan_Start)+(Pay_Num)*12/Num_Pmt_Per_Year,DAY(Loan_Start)),"")</f>
        <v>55763</v>
      </c>
      <c r="C358" s="33">
        <f>IF(Pay_Num&lt;&gt;"",I357,"")</f>
        <v>0</v>
      </c>
      <c r="D358" s="33">
        <f>IF(Pay_Num&lt;&gt;"",Scheduled_Monthly_Payment,"")</f>
        <v>26333.835431927764</v>
      </c>
      <c r="E358" s="34">
        <f>IF(AND(Pay_Num&lt;&gt;"",Sched_Pay+Scheduled_Extra_Payments&lt;Beg_Bal),Scheduled_Extra_Payments,IF(AND(Pay_Num&lt;&gt;"",Beg_Bal-Sched_Pay&gt;0),Beg_Bal-Sched_Pay,IF(Pay_Num&lt;&gt;"",0,"")))</f>
        <v>0</v>
      </c>
      <c r="F358" s="33">
        <f>IF(AND(Pay_Num&lt;&gt;"",Sched_Pay+Extra_Pay&lt;Beg_Bal),Sched_Pay+Extra_Pay,IF(Pay_Num&lt;&gt;"",Beg_Bal,""))</f>
        <v>0</v>
      </c>
      <c r="G358" s="33">
        <f>IF(Pay_Num&lt;&gt;"",Total_Pay-Int,"")</f>
        <v>0</v>
      </c>
      <c r="H358" s="33">
        <f>IF(Pay_Num&lt;&gt;"",Beg_Bal*Interest_Rate/Num_Pmt_Per_Year,"")</f>
        <v>0</v>
      </c>
      <c r="I358" s="33">
        <f>IF(AND(Pay_Num&lt;&gt;"",Sched_Pay+Extra_Pay&lt;Beg_Bal),Beg_Bal-Princ,IF(Pay_Num&lt;&gt;"",0,""))</f>
        <v>0</v>
      </c>
      <c r="J358" s="33">
        <f>SUM($H$18:$H358)</f>
        <v>264024.10073253291</v>
      </c>
    </row>
    <row r="359" spans="1:10" x14ac:dyDescent="0.3">
      <c r="A359" s="36">
        <f>IF(Values_Entered,A358+1,"")</f>
        <v>342</v>
      </c>
      <c r="B359" s="35">
        <f>IF(Pay_Num&lt;&gt;"",DATE(YEAR(Loan_Start),MONTH(Loan_Start)+(Pay_Num)*12/Num_Pmt_Per_Year,DAY(Loan_Start)),"")</f>
        <v>55793</v>
      </c>
      <c r="C359" s="33">
        <f>IF(Pay_Num&lt;&gt;"",I358,"")</f>
        <v>0</v>
      </c>
      <c r="D359" s="33">
        <f>IF(Pay_Num&lt;&gt;"",Scheduled_Monthly_Payment,"")</f>
        <v>26333.835431927764</v>
      </c>
      <c r="E359" s="34">
        <f>IF(AND(Pay_Num&lt;&gt;"",Sched_Pay+Scheduled_Extra_Payments&lt;Beg_Bal),Scheduled_Extra_Payments,IF(AND(Pay_Num&lt;&gt;"",Beg_Bal-Sched_Pay&gt;0),Beg_Bal-Sched_Pay,IF(Pay_Num&lt;&gt;"",0,"")))</f>
        <v>0</v>
      </c>
      <c r="F359" s="33">
        <f>IF(AND(Pay_Num&lt;&gt;"",Sched_Pay+Extra_Pay&lt;Beg_Bal),Sched_Pay+Extra_Pay,IF(Pay_Num&lt;&gt;"",Beg_Bal,""))</f>
        <v>0</v>
      </c>
      <c r="G359" s="33">
        <f>IF(Pay_Num&lt;&gt;"",Total_Pay-Int,"")</f>
        <v>0</v>
      </c>
      <c r="H359" s="33">
        <f>IF(Pay_Num&lt;&gt;"",Beg_Bal*Interest_Rate/Num_Pmt_Per_Year,"")</f>
        <v>0</v>
      </c>
      <c r="I359" s="33">
        <f>IF(AND(Pay_Num&lt;&gt;"",Sched_Pay+Extra_Pay&lt;Beg_Bal),Beg_Bal-Princ,IF(Pay_Num&lt;&gt;"",0,""))</f>
        <v>0</v>
      </c>
      <c r="J359" s="33">
        <f>SUM($H$18:$H359)</f>
        <v>264024.10073253291</v>
      </c>
    </row>
    <row r="360" spans="1:10" x14ac:dyDescent="0.3">
      <c r="A360" s="36">
        <f>IF(Values_Entered,A359+1,"")</f>
        <v>343</v>
      </c>
      <c r="B360" s="35">
        <f>IF(Pay_Num&lt;&gt;"",DATE(YEAR(Loan_Start),MONTH(Loan_Start)+(Pay_Num)*12/Num_Pmt_Per_Year,DAY(Loan_Start)),"")</f>
        <v>55824</v>
      </c>
      <c r="C360" s="33">
        <f>IF(Pay_Num&lt;&gt;"",I359,"")</f>
        <v>0</v>
      </c>
      <c r="D360" s="33">
        <f>IF(Pay_Num&lt;&gt;"",Scheduled_Monthly_Payment,"")</f>
        <v>26333.835431927764</v>
      </c>
      <c r="E360" s="34">
        <f>IF(AND(Pay_Num&lt;&gt;"",Sched_Pay+Scheduled_Extra_Payments&lt;Beg_Bal),Scheduled_Extra_Payments,IF(AND(Pay_Num&lt;&gt;"",Beg_Bal-Sched_Pay&gt;0),Beg_Bal-Sched_Pay,IF(Pay_Num&lt;&gt;"",0,"")))</f>
        <v>0</v>
      </c>
      <c r="F360" s="33">
        <f>IF(AND(Pay_Num&lt;&gt;"",Sched_Pay+Extra_Pay&lt;Beg_Bal),Sched_Pay+Extra_Pay,IF(Pay_Num&lt;&gt;"",Beg_Bal,""))</f>
        <v>0</v>
      </c>
      <c r="G360" s="33">
        <f>IF(Pay_Num&lt;&gt;"",Total_Pay-Int,"")</f>
        <v>0</v>
      </c>
      <c r="H360" s="33">
        <f>IF(Pay_Num&lt;&gt;"",Beg_Bal*Interest_Rate/Num_Pmt_Per_Year,"")</f>
        <v>0</v>
      </c>
      <c r="I360" s="33">
        <f>IF(AND(Pay_Num&lt;&gt;"",Sched_Pay+Extra_Pay&lt;Beg_Bal),Beg_Bal-Princ,IF(Pay_Num&lt;&gt;"",0,""))</f>
        <v>0</v>
      </c>
      <c r="J360" s="33">
        <f>SUM($H$18:$H360)</f>
        <v>264024.10073253291</v>
      </c>
    </row>
    <row r="361" spans="1:10" x14ac:dyDescent="0.3">
      <c r="A361" s="36">
        <f>IF(Values_Entered,A360+1,"")</f>
        <v>344</v>
      </c>
      <c r="B361" s="35">
        <f>IF(Pay_Num&lt;&gt;"",DATE(YEAR(Loan_Start),MONTH(Loan_Start)+(Pay_Num)*12/Num_Pmt_Per_Year,DAY(Loan_Start)),"")</f>
        <v>55854</v>
      </c>
      <c r="C361" s="33">
        <f>IF(Pay_Num&lt;&gt;"",I360,"")</f>
        <v>0</v>
      </c>
      <c r="D361" s="33">
        <f>IF(Pay_Num&lt;&gt;"",Scheduled_Monthly_Payment,"")</f>
        <v>26333.835431927764</v>
      </c>
      <c r="E361" s="34">
        <f>IF(AND(Pay_Num&lt;&gt;"",Sched_Pay+Scheduled_Extra_Payments&lt;Beg_Bal),Scheduled_Extra_Payments,IF(AND(Pay_Num&lt;&gt;"",Beg_Bal-Sched_Pay&gt;0),Beg_Bal-Sched_Pay,IF(Pay_Num&lt;&gt;"",0,"")))</f>
        <v>0</v>
      </c>
      <c r="F361" s="33">
        <f>IF(AND(Pay_Num&lt;&gt;"",Sched_Pay+Extra_Pay&lt;Beg_Bal),Sched_Pay+Extra_Pay,IF(Pay_Num&lt;&gt;"",Beg_Bal,""))</f>
        <v>0</v>
      </c>
      <c r="G361" s="33">
        <f>IF(Pay_Num&lt;&gt;"",Total_Pay-Int,"")</f>
        <v>0</v>
      </c>
      <c r="H361" s="33">
        <f>IF(Pay_Num&lt;&gt;"",Beg_Bal*Interest_Rate/Num_Pmt_Per_Year,"")</f>
        <v>0</v>
      </c>
      <c r="I361" s="33">
        <f>IF(AND(Pay_Num&lt;&gt;"",Sched_Pay+Extra_Pay&lt;Beg_Bal),Beg_Bal-Princ,IF(Pay_Num&lt;&gt;"",0,""))</f>
        <v>0</v>
      </c>
      <c r="J361" s="33">
        <f>SUM($H$18:$H361)</f>
        <v>264024.10073253291</v>
      </c>
    </row>
    <row r="362" spans="1:10" x14ac:dyDescent="0.3">
      <c r="A362" s="36">
        <f>IF(Values_Entered,A361+1,"")</f>
        <v>345</v>
      </c>
      <c r="B362" s="35">
        <f>IF(Pay_Num&lt;&gt;"",DATE(YEAR(Loan_Start),MONTH(Loan_Start)+(Pay_Num)*12/Num_Pmt_Per_Year,DAY(Loan_Start)),"")</f>
        <v>55885</v>
      </c>
      <c r="C362" s="33">
        <f>IF(Pay_Num&lt;&gt;"",I361,"")</f>
        <v>0</v>
      </c>
      <c r="D362" s="33">
        <f>IF(Pay_Num&lt;&gt;"",Scheduled_Monthly_Payment,"")</f>
        <v>26333.835431927764</v>
      </c>
      <c r="E362" s="34">
        <f>IF(AND(Pay_Num&lt;&gt;"",Sched_Pay+Scheduled_Extra_Payments&lt;Beg_Bal),Scheduled_Extra_Payments,IF(AND(Pay_Num&lt;&gt;"",Beg_Bal-Sched_Pay&gt;0),Beg_Bal-Sched_Pay,IF(Pay_Num&lt;&gt;"",0,"")))</f>
        <v>0</v>
      </c>
      <c r="F362" s="33">
        <f>IF(AND(Pay_Num&lt;&gt;"",Sched_Pay+Extra_Pay&lt;Beg_Bal),Sched_Pay+Extra_Pay,IF(Pay_Num&lt;&gt;"",Beg_Bal,""))</f>
        <v>0</v>
      </c>
      <c r="G362" s="33">
        <f>IF(Pay_Num&lt;&gt;"",Total_Pay-Int,"")</f>
        <v>0</v>
      </c>
      <c r="H362" s="33">
        <f>IF(Pay_Num&lt;&gt;"",Beg_Bal*Interest_Rate/Num_Pmt_Per_Year,"")</f>
        <v>0</v>
      </c>
      <c r="I362" s="33">
        <f>IF(AND(Pay_Num&lt;&gt;"",Sched_Pay+Extra_Pay&lt;Beg_Bal),Beg_Bal-Princ,IF(Pay_Num&lt;&gt;"",0,""))</f>
        <v>0</v>
      </c>
      <c r="J362" s="33">
        <f>SUM($H$18:$H362)</f>
        <v>264024.10073253291</v>
      </c>
    </row>
    <row r="363" spans="1:10" x14ac:dyDescent="0.3">
      <c r="A363" s="36">
        <f>IF(Values_Entered,A362+1,"")</f>
        <v>346</v>
      </c>
      <c r="B363" s="35">
        <f>IF(Pay_Num&lt;&gt;"",DATE(YEAR(Loan_Start),MONTH(Loan_Start)+(Pay_Num)*12/Num_Pmt_Per_Year,DAY(Loan_Start)),"")</f>
        <v>55916</v>
      </c>
      <c r="C363" s="33">
        <f>IF(Pay_Num&lt;&gt;"",I362,"")</f>
        <v>0</v>
      </c>
      <c r="D363" s="33">
        <f>IF(Pay_Num&lt;&gt;"",Scheduled_Monthly_Payment,"")</f>
        <v>26333.835431927764</v>
      </c>
      <c r="E363" s="34">
        <f>IF(AND(Pay_Num&lt;&gt;"",Sched_Pay+Scheduled_Extra_Payments&lt;Beg_Bal),Scheduled_Extra_Payments,IF(AND(Pay_Num&lt;&gt;"",Beg_Bal-Sched_Pay&gt;0),Beg_Bal-Sched_Pay,IF(Pay_Num&lt;&gt;"",0,"")))</f>
        <v>0</v>
      </c>
      <c r="F363" s="33">
        <f>IF(AND(Pay_Num&lt;&gt;"",Sched_Pay+Extra_Pay&lt;Beg_Bal),Sched_Pay+Extra_Pay,IF(Pay_Num&lt;&gt;"",Beg_Bal,""))</f>
        <v>0</v>
      </c>
      <c r="G363" s="33">
        <f>IF(Pay_Num&lt;&gt;"",Total_Pay-Int,"")</f>
        <v>0</v>
      </c>
      <c r="H363" s="33">
        <f>IF(Pay_Num&lt;&gt;"",Beg_Bal*Interest_Rate/Num_Pmt_Per_Year,"")</f>
        <v>0</v>
      </c>
      <c r="I363" s="33">
        <f>IF(AND(Pay_Num&lt;&gt;"",Sched_Pay+Extra_Pay&lt;Beg_Bal),Beg_Bal-Princ,IF(Pay_Num&lt;&gt;"",0,""))</f>
        <v>0</v>
      </c>
      <c r="J363" s="33">
        <f>SUM($H$18:$H363)</f>
        <v>264024.10073253291</v>
      </c>
    </row>
    <row r="364" spans="1:10" x14ac:dyDescent="0.3">
      <c r="A364" s="36">
        <f>IF(Values_Entered,A363+1,"")</f>
        <v>347</v>
      </c>
      <c r="B364" s="35">
        <f>IF(Pay_Num&lt;&gt;"",DATE(YEAR(Loan_Start),MONTH(Loan_Start)+(Pay_Num)*12/Num_Pmt_Per_Year,DAY(Loan_Start)),"")</f>
        <v>55944</v>
      </c>
      <c r="C364" s="33">
        <f>IF(Pay_Num&lt;&gt;"",I363,"")</f>
        <v>0</v>
      </c>
      <c r="D364" s="33">
        <f>IF(Pay_Num&lt;&gt;"",Scheduled_Monthly_Payment,"")</f>
        <v>26333.835431927764</v>
      </c>
      <c r="E364" s="34">
        <f>IF(AND(Pay_Num&lt;&gt;"",Sched_Pay+Scheduled_Extra_Payments&lt;Beg_Bal),Scheduled_Extra_Payments,IF(AND(Pay_Num&lt;&gt;"",Beg_Bal-Sched_Pay&gt;0),Beg_Bal-Sched_Pay,IF(Pay_Num&lt;&gt;"",0,"")))</f>
        <v>0</v>
      </c>
      <c r="F364" s="33">
        <f>IF(AND(Pay_Num&lt;&gt;"",Sched_Pay+Extra_Pay&lt;Beg_Bal),Sched_Pay+Extra_Pay,IF(Pay_Num&lt;&gt;"",Beg_Bal,""))</f>
        <v>0</v>
      </c>
      <c r="G364" s="33">
        <f>IF(Pay_Num&lt;&gt;"",Total_Pay-Int,"")</f>
        <v>0</v>
      </c>
      <c r="H364" s="33">
        <f>IF(Pay_Num&lt;&gt;"",Beg_Bal*Interest_Rate/Num_Pmt_Per_Year,"")</f>
        <v>0</v>
      </c>
      <c r="I364" s="33">
        <f>IF(AND(Pay_Num&lt;&gt;"",Sched_Pay+Extra_Pay&lt;Beg_Bal),Beg_Bal-Princ,IF(Pay_Num&lt;&gt;"",0,""))</f>
        <v>0</v>
      </c>
      <c r="J364" s="33">
        <f>SUM($H$18:$H364)</f>
        <v>264024.10073253291</v>
      </c>
    </row>
    <row r="365" spans="1:10" x14ac:dyDescent="0.3">
      <c r="A365" s="36">
        <f>IF(Values_Entered,A364+1,"")</f>
        <v>348</v>
      </c>
      <c r="B365" s="35">
        <f>IF(Pay_Num&lt;&gt;"",DATE(YEAR(Loan_Start),MONTH(Loan_Start)+(Pay_Num)*12/Num_Pmt_Per_Year,DAY(Loan_Start)),"")</f>
        <v>55975</v>
      </c>
      <c r="C365" s="33">
        <f>IF(Pay_Num&lt;&gt;"",I364,"")</f>
        <v>0</v>
      </c>
      <c r="D365" s="33">
        <f>IF(Pay_Num&lt;&gt;"",Scheduled_Monthly_Payment,"")</f>
        <v>26333.835431927764</v>
      </c>
      <c r="E365" s="34">
        <f>IF(AND(Pay_Num&lt;&gt;"",Sched_Pay+Scheduled_Extra_Payments&lt;Beg_Bal),Scheduled_Extra_Payments,IF(AND(Pay_Num&lt;&gt;"",Beg_Bal-Sched_Pay&gt;0),Beg_Bal-Sched_Pay,IF(Pay_Num&lt;&gt;"",0,"")))</f>
        <v>0</v>
      </c>
      <c r="F365" s="33">
        <f>IF(AND(Pay_Num&lt;&gt;"",Sched_Pay+Extra_Pay&lt;Beg_Bal),Sched_Pay+Extra_Pay,IF(Pay_Num&lt;&gt;"",Beg_Bal,""))</f>
        <v>0</v>
      </c>
      <c r="G365" s="33">
        <f>IF(Pay_Num&lt;&gt;"",Total_Pay-Int,"")</f>
        <v>0</v>
      </c>
      <c r="H365" s="33">
        <f>IF(Pay_Num&lt;&gt;"",Beg_Bal*Interest_Rate/Num_Pmt_Per_Year,"")</f>
        <v>0</v>
      </c>
      <c r="I365" s="33">
        <f>IF(AND(Pay_Num&lt;&gt;"",Sched_Pay+Extra_Pay&lt;Beg_Bal),Beg_Bal-Princ,IF(Pay_Num&lt;&gt;"",0,""))</f>
        <v>0</v>
      </c>
      <c r="J365" s="33">
        <f>SUM($H$18:$H365)</f>
        <v>264024.10073253291</v>
      </c>
    </row>
    <row r="366" spans="1:10" x14ac:dyDescent="0.3">
      <c r="A366" s="36">
        <f>IF(Values_Entered,A365+1,"")</f>
        <v>349</v>
      </c>
      <c r="B366" s="35">
        <f>IF(Pay_Num&lt;&gt;"",DATE(YEAR(Loan_Start),MONTH(Loan_Start)+(Pay_Num)*12/Num_Pmt_Per_Year,DAY(Loan_Start)),"")</f>
        <v>56005</v>
      </c>
      <c r="C366" s="33">
        <f>IF(Pay_Num&lt;&gt;"",I365,"")</f>
        <v>0</v>
      </c>
      <c r="D366" s="33">
        <f>IF(Pay_Num&lt;&gt;"",Scheduled_Monthly_Payment,"")</f>
        <v>26333.835431927764</v>
      </c>
      <c r="E366" s="34">
        <f>IF(AND(Pay_Num&lt;&gt;"",Sched_Pay+Scheduled_Extra_Payments&lt;Beg_Bal),Scheduled_Extra_Payments,IF(AND(Pay_Num&lt;&gt;"",Beg_Bal-Sched_Pay&gt;0),Beg_Bal-Sched_Pay,IF(Pay_Num&lt;&gt;"",0,"")))</f>
        <v>0</v>
      </c>
      <c r="F366" s="33">
        <f>IF(AND(Pay_Num&lt;&gt;"",Sched_Pay+Extra_Pay&lt;Beg_Bal),Sched_Pay+Extra_Pay,IF(Pay_Num&lt;&gt;"",Beg_Bal,""))</f>
        <v>0</v>
      </c>
      <c r="G366" s="33">
        <f>IF(Pay_Num&lt;&gt;"",Total_Pay-Int,"")</f>
        <v>0</v>
      </c>
      <c r="H366" s="33">
        <f>IF(Pay_Num&lt;&gt;"",Beg_Bal*Interest_Rate/Num_Pmt_Per_Year,"")</f>
        <v>0</v>
      </c>
      <c r="I366" s="33">
        <f>IF(AND(Pay_Num&lt;&gt;"",Sched_Pay+Extra_Pay&lt;Beg_Bal),Beg_Bal-Princ,IF(Pay_Num&lt;&gt;"",0,""))</f>
        <v>0</v>
      </c>
      <c r="J366" s="33">
        <f>SUM($H$18:$H366)</f>
        <v>264024.10073253291</v>
      </c>
    </row>
    <row r="367" spans="1:10" x14ac:dyDescent="0.3">
      <c r="A367" s="36">
        <f>IF(Values_Entered,A366+1,"")</f>
        <v>350</v>
      </c>
      <c r="B367" s="35">
        <f>IF(Pay_Num&lt;&gt;"",DATE(YEAR(Loan_Start),MONTH(Loan_Start)+(Pay_Num)*12/Num_Pmt_Per_Year,DAY(Loan_Start)),"")</f>
        <v>56036</v>
      </c>
      <c r="C367" s="33">
        <f>IF(Pay_Num&lt;&gt;"",I366,"")</f>
        <v>0</v>
      </c>
      <c r="D367" s="33">
        <f>IF(Pay_Num&lt;&gt;"",Scheduled_Monthly_Payment,"")</f>
        <v>26333.835431927764</v>
      </c>
      <c r="E367" s="34">
        <f>IF(AND(Pay_Num&lt;&gt;"",Sched_Pay+Scheduled_Extra_Payments&lt;Beg_Bal),Scheduled_Extra_Payments,IF(AND(Pay_Num&lt;&gt;"",Beg_Bal-Sched_Pay&gt;0),Beg_Bal-Sched_Pay,IF(Pay_Num&lt;&gt;"",0,"")))</f>
        <v>0</v>
      </c>
      <c r="F367" s="33">
        <f>IF(AND(Pay_Num&lt;&gt;"",Sched_Pay+Extra_Pay&lt;Beg_Bal),Sched_Pay+Extra_Pay,IF(Pay_Num&lt;&gt;"",Beg_Bal,""))</f>
        <v>0</v>
      </c>
      <c r="G367" s="33">
        <f>IF(Pay_Num&lt;&gt;"",Total_Pay-Int,"")</f>
        <v>0</v>
      </c>
      <c r="H367" s="33">
        <f>IF(Pay_Num&lt;&gt;"",Beg_Bal*Interest_Rate/Num_Pmt_Per_Year,"")</f>
        <v>0</v>
      </c>
      <c r="I367" s="33">
        <f>IF(AND(Pay_Num&lt;&gt;"",Sched_Pay+Extra_Pay&lt;Beg_Bal),Beg_Bal-Princ,IF(Pay_Num&lt;&gt;"",0,""))</f>
        <v>0</v>
      </c>
      <c r="J367" s="33">
        <f>SUM($H$18:$H367)</f>
        <v>264024.10073253291</v>
      </c>
    </row>
    <row r="368" spans="1:10" x14ac:dyDescent="0.3">
      <c r="A368" s="36">
        <f>IF(Values_Entered,A367+1,"")</f>
        <v>351</v>
      </c>
      <c r="B368" s="35">
        <f>IF(Pay_Num&lt;&gt;"",DATE(YEAR(Loan_Start),MONTH(Loan_Start)+(Pay_Num)*12/Num_Pmt_Per_Year,DAY(Loan_Start)),"")</f>
        <v>56066</v>
      </c>
      <c r="C368" s="33">
        <f>IF(Pay_Num&lt;&gt;"",I367,"")</f>
        <v>0</v>
      </c>
      <c r="D368" s="33">
        <f>IF(Pay_Num&lt;&gt;"",Scheduled_Monthly_Payment,"")</f>
        <v>26333.835431927764</v>
      </c>
      <c r="E368" s="34">
        <f>IF(AND(Pay_Num&lt;&gt;"",Sched_Pay+Scheduled_Extra_Payments&lt;Beg_Bal),Scheduled_Extra_Payments,IF(AND(Pay_Num&lt;&gt;"",Beg_Bal-Sched_Pay&gt;0),Beg_Bal-Sched_Pay,IF(Pay_Num&lt;&gt;"",0,"")))</f>
        <v>0</v>
      </c>
      <c r="F368" s="33">
        <f>IF(AND(Pay_Num&lt;&gt;"",Sched_Pay+Extra_Pay&lt;Beg_Bal),Sched_Pay+Extra_Pay,IF(Pay_Num&lt;&gt;"",Beg_Bal,""))</f>
        <v>0</v>
      </c>
      <c r="G368" s="33">
        <f>IF(Pay_Num&lt;&gt;"",Total_Pay-Int,"")</f>
        <v>0</v>
      </c>
      <c r="H368" s="33">
        <f>IF(Pay_Num&lt;&gt;"",Beg_Bal*Interest_Rate/Num_Pmt_Per_Year,"")</f>
        <v>0</v>
      </c>
      <c r="I368" s="33">
        <f>IF(AND(Pay_Num&lt;&gt;"",Sched_Pay+Extra_Pay&lt;Beg_Bal),Beg_Bal-Princ,IF(Pay_Num&lt;&gt;"",0,""))</f>
        <v>0</v>
      </c>
      <c r="J368" s="33">
        <f>SUM($H$18:$H368)</f>
        <v>264024.10073253291</v>
      </c>
    </row>
    <row r="369" spans="1:10" x14ac:dyDescent="0.3">
      <c r="A369" s="36">
        <f>IF(Values_Entered,A368+1,"")</f>
        <v>352</v>
      </c>
      <c r="B369" s="35">
        <f>IF(Pay_Num&lt;&gt;"",DATE(YEAR(Loan_Start),MONTH(Loan_Start)+(Pay_Num)*12/Num_Pmt_Per_Year,DAY(Loan_Start)),"")</f>
        <v>56097</v>
      </c>
      <c r="C369" s="33">
        <f>IF(Pay_Num&lt;&gt;"",I368,"")</f>
        <v>0</v>
      </c>
      <c r="D369" s="33">
        <f>IF(Pay_Num&lt;&gt;"",Scheduled_Monthly_Payment,"")</f>
        <v>26333.835431927764</v>
      </c>
      <c r="E369" s="34">
        <f>IF(AND(Pay_Num&lt;&gt;"",Sched_Pay+Scheduled_Extra_Payments&lt;Beg_Bal),Scheduled_Extra_Payments,IF(AND(Pay_Num&lt;&gt;"",Beg_Bal-Sched_Pay&gt;0),Beg_Bal-Sched_Pay,IF(Pay_Num&lt;&gt;"",0,"")))</f>
        <v>0</v>
      </c>
      <c r="F369" s="33">
        <f>IF(AND(Pay_Num&lt;&gt;"",Sched_Pay+Extra_Pay&lt;Beg_Bal),Sched_Pay+Extra_Pay,IF(Pay_Num&lt;&gt;"",Beg_Bal,""))</f>
        <v>0</v>
      </c>
      <c r="G369" s="33">
        <f>IF(Pay_Num&lt;&gt;"",Total_Pay-Int,"")</f>
        <v>0</v>
      </c>
      <c r="H369" s="33">
        <f>IF(Pay_Num&lt;&gt;"",Beg_Bal*Interest_Rate/Num_Pmt_Per_Year,"")</f>
        <v>0</v>
      </c>
      <c r="I369" s="33">
        <f>IF(AND(Pay_Num&lt;&gt;"",Sched_Pay+Extra_Pay&lt;Beg_Bal),Beg_Bal-Princ,IF(Pay_Num&lt;&gt;"",0,""))</f>
        <v>0</v>
      </c>
      <c r="J369" s="33">
        <f>SUM($H$18:$H369)</f>
        <v>264024.10073253291</v>
      </c>
    </row>
    <row r="370" spans="1:10" x14ac:dyDescent="0.3">
      <c r="A370" s="36">
        <f>IF(Values_Entered,A369+1,"")</f>
        <v>353</v>
      </c>
      <c r="B370" s="35">
        <f>IF(Pay_Num&lt;&gt;"",DATE(YEAR(Loan_Start),MONTH(Loan_Start)+(Pay_Num)*12/Num_Pmt_Per_Year,DAY(Loan_Start)),"")</f>
        <v>56128</v>
      </c>
      <c r="C370" s="33">
        <f>IF(Pay_Num&lt;&gt;"",I369,"")</f>
        <v>0</v>
      </c>
      <c r="D370" s="33">
        <f>IF(Pay_Num&lt;&gt;"",Scheduled_Monthly_Payment,"")</f>
        <v>26333.835431927764</v>
      </c>
      <c r="E370" s="34">
        <f>IF(AND(Pay_Num&lt;&gt;"",Sched_Pay+Scheduled_Extra_Payments&lt;Beg_Bal),Scheduled_Extra_Payments,IF(AND(Pay_Num&lt;&gt;"",Beg_Bal-Sched_Pay&gt;0),Beg_Bal-Sched_Pay,IF(Pay_Num&lt;&gt;"",0,"")))</f>
        <v>0</v>
      </c>
      <c r="F370" s="33">
        <f>IF(AND(Pay_Num&lt;&gt;"",Sched_Pay+Extra_Pay&lt;Beg_Bal),Sched_Pay+Extra_Pay,IF(Pay_Num&lt;&gt;"",Beg_Bal,""))</f>
        <v>0</v>
      </c>
      <c r="G370" s="33">
        <f>IF(Pay_Num&lt;&gt;"",Total_Pay-Int,"")</f>
        <v>0</v>
      </c>
      <c r="H370" s="33">
        <f>IF(Pay_Num&lt;&gt;"",Beg_Bal*Interest_Rate/Num_Pmt_Per_Year,"")</f>
        <v>0</v>
      </c>
      <c r="I370" s="33">
        <f>IF(AND(Pay_Num&lt;&gt;"",Sched_Pay+Extra_Pay&lt;Beg_Bal),Beg_Bal-Princ,IF(Pay_Num&lt;&gt;"",0,""))</f>
        <v>0</v>
      </c>
      <c r="J370" s="33">
        <f>SUM($H$18:$H370)</f>
        <v>264024.10073253291</v>
      </c>
    </row>
    <row r="371" spans="1:10" x14ac:dyDescent="0.3">
      <c r="A371" s="36">
        <f>IF(Values_Entered,A370+1,"")</f>
        <v>354</v>
      </c>
      <c r="B371" s="35">
        <f>IF(Pay_Num&lt;&gt;"",DATE(YEAR(Loan_Start),MONTH(Loan_Start)+(Pay_Num)*12/Num_Pmt_Per_Year,DAY(Loan_Start)),"")</f>
        <v>56158</v>
      </c>
      <c r="C371" s="33">
        <f>IF(Pay_Num&lt;&gt;"",I370,"")</f>
        <v>0</v>
      </c>
      <c r="D371" s="33">
        <f>IF(Pay_Num&lt;&gt;"",Scheduled_Monthly_Payment,"")</f>
        <v>26333.835431927764</v>
      </c>
      <c r="E371" s="34">
        <f>IF(AND(Pay_Num&lt;&gt;"",Sched_Pay+Scheduled_Extra_Payments&lt;Beg_Bal),Scheduled_Extra_Payments,IF(AND(Pay_Num&lt;&gt;"",Beg_Bal-Sched_Pay&gt;0),Beg_Bal-Sched_Pay,IF(Pay_Num&lt;&gt;"",0,"")))</f>
        <v>0</v>
      </c>
      <c r="F371" s="33">
        <f>IF(AND(Pay_Num&lt;&gt;"",Sched_Pay+Extra_Pay&lt;Beg_Bal),Sched_Pay+Extra_Pay,IF(Pay_Num&lt;&gt;"",Beg_Bal,""))</f>
        <v>0</v>
      </c>
      <c r="G371" s="33">
        <f>IF(Pay_Num&lt;&gt;"",Total_Pay-Int,"")</f>
        <v>0</v>
      </c>
      <c r="H371" s="33">
        <f>IF(Pay_Num&lt;&gt;"",Beg_Bal*Interest_Rate/Num_Pmt_Per_Year,"")</f>
        <v>0</v>
      </c>
      <c r="I371" s="33">
        <f>IF(AND(Pay_Num&lt;&gt;"",Sched_Pay+Extra_Pay&lt;Beg_Bal),Beg_Bal-Princ,IF(Pay_Num&lt;&gt;"",0,""))</f>
        <v>0</v>
      </c>
      <c r="J371" s="33">
        <f>SUM($H$18:$H371)</f>
        <v>264024.10073253291</v>
      </c>
    </row>
    <row r="372" spans="1:10" x14ac:dyDescent="0.3">
      <c r="A372" s="36">
        <f>IF(Values_Entered,A371+1,"")</f>
        <v>355</v>
      </c>
      <c r="B372" s="35">
        <f>IF(Pay_Num&lt;&gt;"",DATE(YEAR(Loan_Start),MONTH(Loan_Start)+(Pay_Num)*12/Num_Pmt_Per_Year,DAY(Loan_Start)),"")</f>
        <v>56189</v>
      </c>
      <c r="C372" s="33">
        <f>IF(Pay_Num&lt;&gt;"",I371,"")</f>
        <v>0</v>
      </c>
      <c r="D372" s="33">
        <f>IF(Pay_Num&lt;&gt;"",Scheduled_Monthly_Payment,"")</f>
        <v>26333.835431927764</v>
      </c>
      <c r="E372" s="34">
        <f>IF(AND(Pay_Num&lt;&gt;"",Sched_Pay+Scheduled_Extra_Payments&lt;Beg_Bal),Scheduled_Extra_Payments,IF(AND(Pay_Num&lt;&gt;"",Beg_Bal-Sched_Pay&gt;0),Beg_Bal-Sched_Pay,IF(Pay_Num&lt;&gt;"",0,"")))</f>
        <v>0</v>
      </c>
      <c r="F372" s="33">
        <f>IF(AND(Pay_Num&lt;&gt;"",Sched_Pay+Extra_Pay&lt;Beg_Bal),Sched_Pay+Extra_Pay,IF(Pay_Num&lt;&gt;"",Beg_Bal,""))</f>
        <v>0</v>
      </c>
      <c r="G372" s="33">
        <f>IF(Pay_Num&lt;&gt;"",Total_Pay-Int,"")</f>
        <v>0</v>
      </c>
      <c r="H372" s="33">
        <f>IF(Pay_Num&lt;&gt;"",Beg_Bal*Interest_Rate/Num_Pmt_Per_Year,"")</f>
        <v>0</v>
      </c>
      <c r="I372" s="33">
        <f>IF(AND(Pay_Num&lt;&gt;"",Sched_Pay+Extra_Pay&lt;Beg_Bal),Beg_Bal-Princ,IF(Pay_Num&lt;&gt;"",0,""))</f>
        <v>0</v>
      </c>
      <c r="J372" s="33">
        <f>SUM($H$18:$H372)</f>
        <v>264024.10073253291</v>
      </c>
    </row>
    <row r="373" spans="1:10" x14ac:dyDescent="0.3">
      <c r="A373" s="36">
        <f>IF(Values_Entered,A372+1,"")</f>
        <v>356</v>
      </c>
      <c r="B373" s="35">
        <f>IF(Pay_Num&lt;&gt;"",DATE(YEAR(Loan_Start),MONTH(Loan_Start)+(Pay_Num)*12/Num_Pmt_Per_Year,DAY(Loan_Start)),"")</f>
        <v>56219</v>
      </c>
      <c r="C373" s="33">
        <f>IF(Pay_Num&lt;&gt;"",I372,"")</f>
        <v>0</v>
      </c>
      <c r="D373" s="33">
        <f>IF(Pay_Num&lt;&gt;"",Scheduled_Monthly_Payment,"")</f>
        <v>26333.835431927764</v>
      </c>
      <c r="E373" s="34">
        <f>IF(AND(Pay_Num&lt;&gt;"",Sched_Pay+Scheduled_Extra_Payments&lt;Beg_Bal),Scheduled_Extra_Payments,IF(AND(Pay_Num&lt;&gt;"",Beg_Bal-Sched_Pay&gt;0),Beg_Bal-Sched_Pay,IF(Pay_Num&lt;&gt;"",0,"")))</f>
        <v>0</v>
      </c>
      <c r="F373" s="33">
        <f>IF(AND(Pay_Num&lt;&gt;"",Sched_Pay+Extra_Pay&lt;Beg_Bal),Sched_Pay+Extra_Pay,IF(Pay_Num&lt;&gt;"",Beg_Bal,""))</f>
        <v>0</v>
      </c>
      <c r="G373" s="33">
        <f>IF(Pay_Num&lt;&gt;"",Total_Pay-Int,"")</f>
        <v>0</v>
      </c>
      <c r="H373" s="33">
        <f>IF(Pay_Num&lt;&gt;"",Beg_Bal*Interest_Rate/Num_Pmt_Per_Year,"")</f>
        <v>0</v>
      </c>
      <c r="I373" s="33">
        <f>IF(AND(Pay_Num&lt;&gt;"",Sched_Pay+Extra_Pay&lt;Beg_Bal),Beg_Bal-Princ,IF(Pay_Num&lt;&gt;"",0,""))</f>
        <v>0</v>
      </c>
      <c r="J373" s="33">
        <f>SUM($H$18:$H373)</f>
        <v>264024.10073253291</v>
      </c>
    </row>
    <row r="374" spans="1:10" x14ac:dyDescent="0.3">
      <c r="A374" s="36">
        <f>IF(Values_Entered,A373+1,"")</f>
        <v>357</v>
      </c>
      <c r="B374" s="35">
        <f>IF(Pay_Num&lt;&gt;"",DATE(YEAR(Loan_Start),MONTH(Loan_Start)+(Pay_Num)*12/Num_Pmt_Per_Year,DAY(Loan_Start)),"")</f>
        <v>56250</v>
      </c>
      <c r="C374" s="33">
        <f>IF(Pay_Num&lt;&gt;"",I373,"")</f>
        <v>0</v>
      </c>
      <c r="D374" s="33">
        <f>IF(Pay_Num&lt;&gt;"",Scheduled_Monthly_Payment,"")</f>
        <v>26333.835431927764</v>
      </c>
      <c r="E374" s="34">
        <f>IF(AND(Pay_Num&lt;&gt;"",Sched_Pay+Scheduled_Extra_Payments&lt;Beg_Bal),Scheduled_Extra_Payments,IF(AND(Pay_Num&lt;&gt;"",Beg_Bal-Sched_Pay&gt;0),Beg_Bal-Sched_Pay,IF(Pay_Num&lt;&gt;"",0,"")))</f>
        <v>0</v>
      </c>
      <c r="F374" s="33">
        <f>IF(AND(Pay_Num&lt;&gt;"",Sched_Pay+Extra_Pay&lt;Beg_Bal),Sched_Pay+Extra_Pay,IF(Pay_Num&lt;&gt;"",Beg_Bal,""))</f>
        <v>0</v>
      </c>
      <c r="G374" s="33">
        <f>IF(Pay_Num&lt;&gt;"",Total_Pay-Int,"")</f>
        <v>0</v>
      </c>
      <c r="H374" s="33">
        <f>IF(Pay_Num&lt;&gt;"",Beg_Bal*Interest_Rate/Num_Pmt_Per_Year,"")</f>
        <v>0</v>
      </c>
      <c r="I374" s="33">
        <f>IF(AND(Pay_Num&lt;&gt;"",Sched_Pay+Extra_Pay&lt;Beg_Bal),Beg_Bal-Princ,IF(Pay_Num&lt;&gt;"",0,""))</f>
        <v>0</v>
      </c>
      <c r="J374" s="33">
        <f>SUM($H$18:$H374)</f>
        <v>264024.10073253291</v>
      </c>
    </row>
    <row r="375" spans="1:10" x14ac:dyDescent="0.3">
      <c r="A375" s="36">
        <f>IF(Values_Entered,A374+1,"")</f>
        <v>358</v>
      </c>
      <c r="B375" s="35">
        <f>IF(Pay_Num&lt;&gt;"",DATE(YEAR(Loan_Start),MONTH(Loan_Start)+(Pay_Num)*12/Num_Pmt_Per_Year,DAY(Loan_Start)),"")</f>
        <v>56281</v>
      </c>
      <c r="C375" s="33">
        <f>IF(Pay_Num&lt;&gt;"",I374,"")</f>
        <v>0</v>
      </c>
      <c r="D375" s="33">
        <f>IF(Pay_Num&lt;&gt;"",Scheduled_Monthly_Payment,"")</f>
        <v>26333.835431927764</v>
      </c>
      <c r="E375" s="34">
        <f>IF(AND(Pay_Num&lt;&gt;"",Sched_Pay+Scheduled_Extra_Payments&lt;Beg_Bal),Scheduled_Extra_Payments,IF(AND(Pay_Num&lt;&gt;"",Beg_Bal-Sched_Pay&gt;0),Beg_Bal-Sched_Pay,IF(Pay_Num&lt;&gt;"",0,"")))</f>
        <v>0</v>
      </c>
      <c r="F375" s="33">
        <f>IF(AND(Pay_Num&lt;&gt;"",Sched_Pay+Extra_Pay&lt;Beg_Bal),Sched_Pay+Extra_Pay,IF(Pay_Num&lt;&gt;"",Beg_Bal,""))</f>
        <v>0</v>
      </c>
      <c r="G375" s="33">
        <f>IF(Pay_Num&lt;&gt;"",Total_Pay-Int,"")</f>
        <v>0</v>
      </c>
      <c r="H375" s="33">
        <f>IF(Pay_Num&lt;&gt;"",Beg_Bal*Interest_Rate/Num_Pmt_Per_Year,"")</f>
        <v>0</v>
      </c>
      <c r="I375" s="33">
        <f>IF(AND(Pay_Num&lt;&gt;"",Sched_Pay+Extra_Pay&lt;Beg_Bal),Beg_Bal-Princ,IF(Pay_Num&lt;&gt;"",0,""))</f>
        <v>0</v>
      </c>
      <c r="J375" s="33">
        <f>SUM($H$18:$H375)</f>
        <v>264024.10073253291</v>
      </c>
    </row>
    <row r="376" spans="1:10" x14ac:dyDescent="0.3">
      <c r="A376" s="36">
        <f>IF(Values_Entered,A375+1,"")</f>
        <v>359</v>
      </c>
      <c r="B376" s="35">
        <f>IF(Pay_Num&lt;&gt;"",DATE(YEAR(Loan_Start),MONTH(Loan_Start)+(Pay_Num)*12/Num_Pmt_Per_Year,DAY(Loan_Start)),"")</f>
        <v>56309</v>
      </c>
      <c r="C376" s="33">
        <f>IF(Pay_Num&lt;&gt;"",I375,"")</f>
        <v>0</v>
      </c>
      <c r="D376" s="33">
        <f>IF(Pay_Num&lt;&gt;"",Scheduled_Monthly_Payment,"")</f>
        <v>26333.835431927764</v>
      </c>
      <c r="E376" s="34">
        <f>IF(AND(Pay_Num&lt;&gt;"",Sched_Pay+Scheduled_Extra_Payments&lt;Beg_Bal),Scheduled_Extra_Payments,IF(AND(Pay_Num&lt;&gt;"",Beg_Bal-Sched_Pay&gt;0),Beg_Bal-Sched_Pay,IF(Pay_Num&lt;&gt;"",0,"")))</f>
        <v>0</v>
      </c>
      <c r="F376" s="33">
        <f>IF(AND(Pay_Num&lt;&gt;"",Sched_Pay+Extra_Pay&lt;Beg_Bal),Sched_Pay+Extra_Pay,IF(Pay_Num&lt;&gt;"",Beg_Bal,""))</f>
        <v>0</v>
      </c>
      <c r="G376" s="33">
        <f>IF(Pay_Num&lt;&gt;"",Total_Pay-Int,"")</f>
        <v>0</v>
      </c>
      <c r="H376" s="33">
        <f>IF(Pay_Num&lt;&gt;"",Beg_Bal*Interest_Rate/Num_Pmt_Per_Year,"")</f>
        <v>0</v>
      </c>
      <c r="I376" s="33">
        <f>IF(AND(Pay_Num&lt;&gt;"",Sched_Pay+Extra_Pay&lt;Beg_Bal),Beg_Bal-Princ,IF(Pay_Num&lt;&gt;"",0,""))</f>
        <v>0</v>
      </c>
      <c r="J376" s="33">
        <f>SUM($H$18:$H376)</f>
        <v>264024.10073253291</v>
      </c>
    </row>
    <row r="377" spans="1:10" x14ac:dyDescent="0.3">
      <c r="A377" s="36">
        <f>IF(Values_Entered,A376+1,"")</f>
        <v>360</v>
      </c>
      <c r="B377" s="35">
        <f>IF(Pay_Num&lt;&gt;"",DATE(YEAR(Loan_Start),MONTH(Loan_Start)+(Pay_Num)*12/Num_Pmt_Per_Year,DAY(Loan_Start)),"")</f>
        <v>56340</v>
      </c>
      <c r="C377" s="33">
        <f>IF(Pay_Num&lt;&gt;"",I376,"")</f>
        <v>0</v>
      </c>
      <c r="D377" s="33">
        <f>IF(Pay_Num&lt;&gt;"",Scheduled_Monthly_Payment,"")</f>
        <v>26333.835431927764</v>
      </c>
      <c r="E377" s="34">
        <f>IF(AND(Pay_Num&lt;&gt;"",Sched_Pay+Scheduled_Extra_Payments&lt;Beg_Bal),Scheduled_Extra_Payments,IF(AND(Pay_Num&lt;&gt;"",Beg_Bal-Sched_Pay&gt;0),Beg_Bal-Sched_Pay,IF(Pay_Num&lt;&gt;"",0,"")))</f>
        <v>0</v>
      </c>
      <c r="F377" s="33">
        <f>IF(AND(Pay_Num&lt;&gt;"",Sched_Pay+Extra_Pay&lt;Beg_Bal),Sched_Pay+Extra_Pay,IF(Pay_Num&lt;&gt;"",Beg_Bal,""))</f>
        <v>0</v>
      </c>
      <c r="G377" s="33">
        <f>IF(Pay_Num&lt;&gt;"",Total_Pay-Int,"")</f>
        <v>0</v>
      </c>
      <c r="H377" s="33">
        <f>IF(Pay_Num&lt;&gt;"",Beg_Bal*Interest_Rate/Num_Pmt_Per_Year,"")</f>
        <v>0</v>
      </c>
      <c r="I377" s="33">
        <f>IF(AND(Pay_Num&lt;&gt;"",Sched_Pay+Extra_Pay&lt;Beg_Bal),Beg_Bal-Princ,IF(Pay_Num&lt;&gt;"",0,""))</f>
        <v>0</v>
      </c>
      <c r="J377" s="33">
        <f>SUM($H$18:$H377)</f>
        <v>264024.10073253291</v>
      </c>
    </row>
    <row r="378" spans="1:10" x14ac:dyDescent="0.3">
      <c r="A378" s="36">
        <f>IF(Values_Entered,A377+1,"")</f>
        <v>361</v>
      </c>
      <c r="B378" s="35">
        <f>IF(Pay_Num&lt;&gt;"",DATE(YEAR(Loan_Start),MONTH(Loan_Start)+(Pay_Num)*12/Num_Pmt_Per_Year,DAY(Loan_Start)),"")</f>
        <v>56370</v>
      </c>
      <c r="C378" s="33">
        <f>IF(Pay_Num&lt;&gt;"",I377,"")</f>
        <v>0</v>
      </c>
      <c r="D378" s="33">
        <f>IF(Pay_Num&lt;&gt;"",Scheduled_Monthly_Payment,"")</f>
        <v>26333.835431927764</v>
      </c>
      <c r="E378" s="34">
        <f>IF(AND(Pay_Num&lt;&gt;"",Sched_Pay+Scheduled_Extra_Payments&lt;Beg_Bal),Scheduled_Extra_Payments,IF(AND(Pay_Num&lt;&gt;"",Beg_Bal-Sched_Pay&gt;0),Beg_Bal-Sched_Pay,IF(Pay_Num&lt;&gt;"",0,"")))</f>
        <v>0</v>
      </c>
      <c r="F378" s="33">
        <f>IF(AND(Pay_Num&lt;&gt;"",Sched_Pay+Extra_Pay&lt;Beg_Bal),Sched_Pay+Extra_Pay,IF(Pay_Num&lt;&gt;"",Beg_Bal,""))</f>
        <v>0</v>
      </c>
      <c r="G378" s="33">
        <f>IF(Pay_Num&lt;&gt;"",Total_Pay-Int,"")</f>
        <v>0</v>
      </c>
      <c r="H378" s="33">
        <f>IF(Pay_Num&lt;&gt;"",Beg_Bal*Interest_Rate/Num_Pmt_Per_Year,"")</f>
        <v>0</v>
      </c>
      <c r="I378" s="33">
        <f>IF(AND(Pay_Num&lt;&gt;"",Sched_Pay+Extra_Pay&lt;Beg_Bal),Beg_Bal-Princ,IF(Pay_Num&lt;&gt;"",0,""))</f>
        <v>0</v>
      </c>
      <c r="J378" s="33">
        <f>SUM($H$18:$H378)</f>
        <v>264024.10073253291</v>
      </c>
    </row>
    <row r="379" spans="1:10" x14ac:dyDescent="0.3">
      <c r="A379" s="36">
        <f>IF(Values_Entered,A378+1,"")</f>
        <v>362</v>
      </c>
      <c r="B379" s="35">
        <f>IF(Pay_Num&lt;&gt;"",DATE(YEAR(Loan_Start),MONTH(Loan_Start)+(Pay_Num)*12/Num_Pmt_Per_Year,DAY(Loan_Start)),"")</f>
        <v>56401</v>
      </c>
      <c r="C379" s="33">
        <f>IF(Pay_Num&lt;&gt;"",I378,"")</f>
        <v>0</v>
      </c>
      <c r="D379" s="33">
        <f>IF(Pay_Num&lt;&gt;"",Scheduled_Monthly_Payment,"")</f>
        <v>26333.835431927764</v>
      </c>
      <c r="E379" s="34">
        <f>IF(AND(Pay_Num&lt;&gt;"",Sched_Pay+Scheduled_Extra_Payments&lt;Beg_Bal),Scheduled_Extra_Payments,IF(AND(Pay_Num&lt;&gt;"",Beg_Bal-Sched_Pay&gt;0),Beg_Bal-Sched_Pay,IF(Pay_Num&lt;&gt;"",0,"")))</f>
        <v>0</v>
      </c>
      <c r="F379" s="33">
        <f>IF(AND(Pay_Num&lt;&gt;"",Sched_Pay+Extra_Pay&lt;Beg_Bal),Sched_Pay+Extra_Pay,IF(Pay_Num&lt;&gt;"",Beg_Bal,""))</f>
        <v>0</v>
      </c>
      <c r="G379" s="33">
        <f>IF(Pay_Num&lt;&gt;"",Total_Pay-Int,"")</f>
        <v>0</v>
      </c>
      <c r="H379" s="33">
        <f>IF(Pay_Num&lt;&gt;"",Beg_Bal*Interest_Rate/Num_Pmt_Per_Year,"")</f>
        <v>0</v>
      </c>
      <c r="I379" s="33">
        <f>IF(AND(Pay_Num&lt;&gt;"",Sched_Pay+Extra_Pay&lt;Beg_Bal),Beg_Bal-Princ,IF(Pay_Num&lt;&gt;"",0,""))</f>
        <v>0</v>
      </c>
      <c r="J379" s="33">
        <f>SUM($H$18:$H379)</f>
        <v>264024.10073253291</v>
      </c>
    </row>
    <row r="380" spans="1:10" x14ac:dyDescent="0.3">
      <c r="A380" s="36">
        <f>IF(Values_Entered,A379+1,"")</f>
        <v>363</v>
      </c>
      <c r="B380" s="35">
        <f>IF(Pay_Num&lt;&gt;"",DATE(YEAR(Loan_Start),MONTH(Loan_Start)+(Pay_Num)*12/Num_Pmt_Per_Year,DAY(Loan_Start)),"")</f>
        <v>56431</v>
      </c>
      <c r="C380" s="33">
        <f>IF(Pay_Num&lt;&gt;"",I379,"")</f>
        <v>0</v>
      </c>
      <c r="D380" s="33">
        <f>IF(Pay_Num&lt;&gt;"",Scheduled_Monthly_Payment,"")</f>
        <v>26333.835431927764</v>
      </c>
      <c r="E380" s="34">
        <f>IF(AND(Pay_Num&lt;&gt;"",Sched_Pay+Scheduled_Extra_Payments&lt;Beg_Bal),Scheduled_Extra_Payments,IF(AND(Pay_Num&lt;&gt;"",Beg_Bal-Sched_Pay&gt;0),Beg_Bal-Sched_Pay,IF(Pay_Num&lt;&gt;"",0,"")))</f>
        <v>0</v>
      </c>
      <c r="F380" s="33">
        <f>IF(AND(Pay_Num&lt;&gt;"",Sched_Pay+Extra_Pay&lt;Beg_Bal),Sched_Pay+Extra_Pay,IF(Pay_Num&lt;&gt;"",Beg_Bal,""))</f>
        <v>0</v>
      </c>
      <c r="G380" s="33">
        <f>IF(Pay_Num&lt;&gt;"",Total_Pay-Int,"")</f>
        <v>0</v>
      </c>
      <c r="H380" s="33">
        <f>IF(Pay_Num&lt;&gt;"",Beg_Bal*Interest_Rate/Num_Pmt_Per_Year,"")</f>
        <v>0</v>
      </c>
      <c r="I380" s="33">
        <f>IF(AND(Pay_Num&lt;&gt;"",Sched_Pay+Extra_Pay&lt;Beg_Bal),Beg_Bal-Princ,IF(Pay_Num&lt;&gt;"",0,""))</f>
        <v>0</v>
      </c>
      <c r="J380" s="33">
        <f>SUM($H$18:$H380)</f>
        <v>264024.10073253291</v>
      </c>
    </row>
    <row r="381" spans="1:10" x14ac:dyDescent="0.3">
      <c r="A381" s="36">
        <f>IF(Values_Entered,A380+1,"")</f>
        <v>364</v>
      </c>
      <c r="B381" s="35">
        <f>IF(Pay_Num&lt;&gt;"",DATE(YEAR(Loan_Start),MONTH(Loan_Start)+(Pay_Num)*12/Num_Pmt_Per_Year,DAY(Loan_Start)),"")</f>
        <v>56462</v>
      </c>
      <c r="C381" s="33">
        <f>IF(Pay_Num&lt;&gt;"",I380,"")</f>
        <v>0</v>
      </c>
      <c r="D381" s="33">
        <f>IF(Pay_Num&lt;&gt;"",Scheduled_Monthly_Payment,"")</f>
        <v>26333.835431927764</v>
      </c>
      <c r="E381" s="34">
        <f>IF(AND(Pay_Num&lt;&gt;"",Sched_Pay+Scheduled_Extra_Payments&lt;Beg_Bal),Scheduled_Extra_Payments,IF(AND(Pay_Num&lt;&gt;"",Beg_Bal-Sched_Pay&gt;0),Beg_Bal-Sched_Pay,IF(Pay_Num&lt;&gt;"",0,"")))</f>
        <v>0</v>
      </c>
      <c r="F381" s="33">
        <f>IF(AND(Pay_Num&lt;&gt;"",Sched_Pay+Extra_Pay&lt;Beg_Bal),Sched_Pay+Extra_Pay,IF(Pay_Num&lt;&gt;"",Beg_Bal,""))</f>
        <v>0</v>
      </c>
      <c r="G381" s="33">
        <f>IF(Pay_Num&lt;&gt;"",Total_Pay-Int,"")</f>
        <v>0</v>
      </c>
      <c r="H381" s="33">
        <f>IF(Pay_Num&lt;&gt;"",Beg_Bal*Interest_Rate/Num_Pmt_Per_Year,"")</f>
        <v>0</v>
      </c>
      <c r="I381" s="33">
        <f>IF(AND(Pay_Num&lt;&gt;"",Sched_Pay+Extra_Pay&lt;Beg_Bal),Beg_Bal-Princ,IF(Pay_Num&lt;&gt;"",0,""))</f>
        <v>0</v>
      </c>
      <c r="J381" s="33">
        <f>SUM($H$18:$H381)</f>
        <v>264024.10073253291</v>
      </c>
    </row>
    <row r="382" spans="1:10" x14ac:dyDescent="0.3">
      <c r="A382" s="36">
        <f>IF(Values_Entered,A381+1,"")</f>
        <v>365</v>
      </c>
      <c r="B382" s="35">
        <f>IF(Pay_Num&lt;&gt;"",DATE(YEAR(Loan_Start),MONTH(Loan_Start)+(Pay_Num)*12/Num_Pmt_Per_Year,DAY(Loan_Start)),"")</f>
        <v>56493</v>
      </c>
      <c r="C382" s="33">
        <f>IF(Pay_Num&lt;&gt;"",I381,"")</f>
        <v>0</v>
      </c>
      <c r="D382" s="33">
        <f>IF(Pay_Num&lt;&gt;"",Scheduled_Monthly_Payment,"")</f>
        <v>26333.835431927764</v>
      </c>
      <c r="E382" s="34">
        <f>IF(AND(Pay_Num&lt;&gt;"",Sched_Pay+Scheduled_Extra_Payments&lt;Beg_Bal),Scheduled_Extra_Payments,IF(AND(Pay_Num&lt;&gt;"",Beg_Bal-Sched_Pay&gt;0),Beg_Bal-Sched_Pay,IF(Pay_Num&lt;&gt;"",0,"")))</f>
        <v>0</v>
      </c>
      <c r="F382" s="33">
        <f>IF(AND(Pay_Num&lt;&gt;"",Sched_Pay+Extra_Pay&lt;Beg_Bal),Sched_Pay+Extra_Pay,IF(Pay_Num&lt;&gt;"",Beg_Bal,""))</f>
        <v>0</v>
      </c>
      <c r="G382" s="33">
        <f>IF(Pay_Num&lt;&gt;"",Total_Pay-Int,"")</f>
        <v>0</v>
      </c>
      <c r="H382" s="33">
        <f>IF(Pay_Num&lt;&gt;"",Beg_Bal*Interest_Rate/Num_Pmt_Per_Year,"")</f>
        <v>0</v>
      </c>
      <c r="I382" s="33">
        <f>IF(AND(Pay_Num&lt;&gt;"",Sched_Pay+Extra_Pay&lt;Beg_Bal),Beg_Bal-Princ,IF(Pay_Num&lt;&gt;"",0,""))</f>
        <v>0</v>
      </c>
      <c r="J382" s="33">
        <f>SUM($H$18:$H382)</f>
        <v>264024.10073253291</v>
      </c>
    </row>
    <row r="383" spans="1:10" x14ac:dyDescent="0.3">
      <c r="A383" s="36">
        <f>IF(Values_Entered,A382+1,"")</f>
        <v>366</v>
      </c>
      <c r="B383" s="35">
        <f>IF(Pay_Num&lt;&gt;"",DATE(YEAR(Loan_Start),MONTH(Loan_Start)+(Pay_Num)*12/Num_Pmt_Per_Year,DAY(Loan_Start)),"")</f>
        <v>56523</v>
      </c>
      <c r="C383" s="33">
        <f>IF(Pay_Num&lt;&gt;"",I382,"")</f>
        <v>0</v>
      </c>
      <c r="D383" s="33">
        <f>IF(Pay_Num&lt;&gt;"",Scheduled_Monthly_Payment,"")</f>
        <v>26333.835431927764</v>
      </c>
      <c r="E383" s="34">
        <f>IF(AND(Pay_Num&lt;&gt;"",Sched_Pay+Scheduled_Extra_Payments&lt;Beg_Bal),Scheduled_Extra_Payments,IF(AND(Pay_Num&lt;&gt;"",Beg_Bal-Sched_Pay&gt;0),Beg_Bal-Sched_Pay,IF(Pay_Num&lt;&gt;"",0,"")))</f>
        <v>0</v>
      </c>
      <c r="F383" s="33">
        <f>IF(AND(Pay_Num&lt;&gt;"",Sched_Pay+Extra_Pay&lt;Beg_Bal),Sched_Pay+Extra_Pay,IF(Pay_Num&lt;&gt;"",Beg_Bal,""))</f>
        <v>0</v>
      </c>
      <c r="G383" s="33">
        <f>IF(Pay_Num&lt;&gt;"",Total_Pay-Int,"")</f>
        <v>0</v>
      </c>
      <c r="H383" s="33">
        <f>IF(Pay_Num&lt;&gt;"",Beg_Bal*Interest_Rate/Num_Pmt_Per_Year,"")</f>
        <v>0</v>
      </c>
      <c r="I383" s="33">
        <f>IF(AND(Pay_Num&lt;&gt;"",Sched_Pay+Extra_Pay&lt;Beg_Bal),Beg_Bal-Princ,IF(Pay_Num&lt;&gt;"",0,""))</f>
        <v>0</v>
      </c>
      <c r="J383" s="33">
        <f>SUM($H$18:$H383)</f>
        <v>264024.10073253291</v>
      </c>
    </row>
    <row r="384" spans="1:10" x14ac:dyDescent="0.3">
      <c r="A384" s="36">
        <f>IF(Values_Entered,A383+1,"")</f>
        <v>367</v>
      </c>
      <c r="B384" s="35">
        <f>IF(Pay_Num&lt;&gt;"",DATE(YEAR(Loan_Start),MONTH(Loan_Start)+(Pay_Num)*12/Num_Pmt_Per_Year,DAY(Loan_Start)),"")</f>
        <v>56554</v>
      </c>
      <c r="C384" s="33">
        <f>IF(Pay_Num&lt;&gt;"",I383,"")</f>
        <v>0</v>
      </c>
      <c r="D384" s="33">
        <f>IF(Pay_Num&lt;&gt;"",Scheduled_Monthly_Payment,"")</f>
        <v>26333.835431927764</v>
      </c>
      <c r="E384" s="34">
        <f>IF(AND(Pay_Num&lt;&gt;"",Sched_Pay+Scheduled_Extra_Payments&lt;Beg_Bal),Scheduled_Extra_Payments,IF(AND(Pay_Num&lt;&gt;"",Beg_Bal-Sched_Pay&gt;0),Beg_Bal-Sched_Pay,IF(Pay_Num&lt;&gt;"",0,"")))</f>
        <v>0</v>
      </c>
      <c r="F384" s="33">
        <f>IF(AND(Pay_Num&lt;&gt;"",Sched_Pay+Extra_Pay&lt;Beg_Bal),Sched_Pay+Extra_Pay,IF(Pay_Num&lt;&gt;"",Beg_Bal,""))</f>
        <v>0</v>
      </c>
      <c r="G384" s="33">
        <f>IF(Pay_Num&lt;&gt;"",Total_Pay-Int,"")</f>
        <v>0</v>
      </c>
      <c r="H384" s="33">
        <f>IF(Pay_Num&lt;&gt;"",Beg_Bal*Interest_Rate/Num_Pmt_Per_Year,"")</f>
        <v>0</v>
      </c>
      <c r="I384" s="33">
        <f>IF(AND(Pay_Num&lt;&gt;"",Sched_Pay+Extra_Pay&lt;Beg_Bal),Beg_Bal-Princ,IF(Pay_Num&lt;&gt;"",0,""))</f>
        <v>0</v>
      </c>
      <c r="J384" s="33">
        <f>SUM($H$18:$H384)</f>
        <v>264024.10073253291</v>
      </c>
    </row>
    <row r="385" spans="1:10" x14ac:dyDescent="0.3">
      <c r="A385" s="36">
        <f>IF(Values_Entered,A384+1,"")</f>
        <v>368</v>
      </c>
      <c r="B385" s="35">
        <f>IF(Pay_Num&lt;&gt;"",DATE(YEAR(Loan_Start),MONTH(Loan_Start)+(Pay_Num)*12/Num_Pmt_Per_Year,DAY(Loan_Start)),"")</f>
        <v>56584</v>
      </c>
      <c r="C385" s="33">
        <f>IF(Pay_Num&lt;&gt;"",I384,"")</f>
        <v>0</v>
      </c>
      <c r="D385" s="33">
        <f>IF(Pay_Num&lt;&gt;"",Scheduled_Monthly_Payment,"")</f>
        <v>26333.835431927764</v>
      </c>
      <c r="E385" s="34">
        <f>IF(AND(Pay_Num&lt;&gt;"",Sched_Pay+Scheduled_Extra_Payments&lt;Beg_Bal),Scheduled_Extra_Payments,IF(AND(Pay_Num&lt;&gt;"",Beg_Bal-Sched_Pay&gt;0),Beg_Bal-Sched_Pay,IF(Pay_Num&lt;&gt;"",0,"")))</f>
        <v>0</v>
      </c>
      <c r="F385" s="33">
        <f>IF(AND(Pay_Num&lt;&gt;"",Sched_Pay+Extra_Pay&lt;Beg_Bal),Sched_Pay+Extra_Pay,IF(Pay_Num&lt;&gt;"",Beg_Bal,""))</f>
        <v>0</v>
      </c>
      <c r="G385" s="33">
        <f>IF(Pay_Num&lt;&gt;"",Total_Pay-Int,"")</f>
        <v>0</v>
      </c>
      <c r="H385" s="33">
        <f>IF(Pay_Num&lt;&gt;"",Beg_Bal*Interest_Rate/Num_Pmt_Per_Year,"")</f>
        <v>0</v>
      </c>
      <c r="I385" s="33">
        <f>IF(AND(Pay_Num&lt;&gt;"",Sched_Pay+Extra_Pay&lt;Beg_Bal),Beg_Bal-Princ,IF(Pay_Num&lt;&gt;"",0,""))</f>
        <v>0</v>
      </c>
      <c r="J385" s="33">
        <f>SUM($H$18:$H385)</f>
        <v>264024.10073253291</v>
      </c>
    </row>
    <row r="386" spans="1:10" x14ac:dyDescent="0.3">
      <c r="A386" s="36">
        <f>IF(Values_Entered,A385+1,"")</f>
        <v>369</v>
      </c>
      <c r="B386" s="35">
        <f>IF(Pay_Num&lt;&gt;"",DATE(YEAR(Loan_Start),MONTH(Loan_Start)+(Pay_Num)*12/Num_Pmt_Per_Year,DAY(Loan_Start)),"")</f>
        <v>56615</v>
      </c>
      <c r="C386" s="33">
        <f>IF(Pay_Num&lt;&gt;"",I385,"")</f>
        <v>0</v>
      </c>
      <c r="D386" s="33">
        <f>IF(Pay_Num&lt;&gt;"",Scheduled_Monthly_Payment,"")</f>
        <v>26333.835431927764</v>
      </c>
      <c r="E386" s="34">
        <f>IF(AND(Pay_Num&lt;&gt;"",Sched_Pay+Scheduled_Extra_Payments&lt;Beg_Bal),Scheduled_Extra_Payments,IF(AND(Pay_Num&lt;&gt;"",Beg_Bal-Sched_Pay&gt;0),Beg_Bal-Sched_Pay,IF(Pay_Num&lt;&gt;"",0,"")))</f>
        <v>0</v>
      </c>
      <c r="F386" s="33">
        <f>IF(AND(Pay_Num&lt;&gt;"",Sched_Pay+Extra_Pay&lt;Beg_Bal),Sched_Pay+Extra_Pay,IF(Pay_Num&lt;&gt;"",Beg_Bal,""))</f>
        <v>0</v>
      </c>
      <c r="G386" s="33">
        <f>IF(Pay_Num&lt;&gt;"",Total_Pay-Int,"")</f>
        <v>0</v>
      </c>
      <c r="H386" s="33">
        <f>IF(Pay_Num&lt;&gt;"",Beg_Bal*Interest_Rate/Num_Pmt_Per_Year,"")</f>
        <v>0</v>
      </c>
      <c r="I386" s="33">
        <f>IF(AND(Pay_Num&lt;&gt;"",Sched_Pay+Extra_Pay&lt;Beg_Bal),Beg_Bal-Princ,IF(Pay_Num&lt;&gt;"",0,""))</f>
        <v>0</v>
      </c>
      <c r="J386" s="33">
        <f>SUM($H$18:$H386)</f>
        <v>264024.10073253291</v>
      </c>
    </row>
    <row r="387" spans="1:10" x14ac:dyDescent="0.3">
      <c r="A387" s="36">
        <f>IF(Values_Entered,A386+1,"")</f>
        <v>370</v>
      </c>
      <c r="B387" s="35">
        <f>IF(Pay_Num&lt;&gt;"",DATE(YEAR(Loan_Start),MONTH(Loan_Start)+(Pay_Num)*12/Num_Pmt_Per_Year,DAY(Loan_Start)),"")</f>
        <v>56646</v>
      </c>
      <c r="C387" s="33">
        <f>IF(Pay_Num&lt;&gt;"",I386,"")</f>
        <v>0</v>
      </c>
      <c r="D387" s="33">
        <f>IF(Pay_Num&lt;&gt;"",Scheduled_Monthly_Payment,"")</f>
        <v>26333.835431927764</v>
      </c>
      <c r="E387" s="34">
        <f>IF(AND(Pay_Num&lt;&gt;"",Sched_Pay+Scheduled_Extra_Payments&lt;Beg_Bal),Scheduled_Extra_Payments,IF(AND(Pay_Num&lt;&gt;"",Beg_Bal-Sched_Pay&gt;0),Beg_Bal-Sched_Pay,IF(Pay_Num&lt;&gt;"",0,"")))</f>
        <v>0</v>
      </c>
      <c r="F387" s="33">
        <f>IF(AND(Pay_Num&lt;&gt;"",Sched_Pay+Extra_Pay&lt;Beg_Bal),Sched_Pay+Extra_Pay,IF(Pay_Num&lt;&gt;"",Beg_Bal,""))</f>
        <v>0</v>
      </c>
      <c r="G387" s="33">
        <f>IF(Pay_Num&lt;&gt;"",Total_Pay-Int,"")</f>
        <v>0</v>
      </c>
      <c r="H387" s="33">
        <f>IF(Pay_Num&lt;&gt;"",Beg_Bal*Interest_Rate/Num_Pmt_Per_Year,"")</f>
        <v>0</v>
      </c>
      <c r="I387" s="33">
        <f>IF(AND(Pay_Num&lt;&gt;"",Sched_Pay+Extra_Pay&lt;Beg_Bal),Beg_Bal-Princ,IF(Pay_Num&lt;&gt;"",0,""))</f>
        <v>0</v>
      </c>
      <c r="J387" s="33">
        <f>SUM($H$18:$H387)</f>
        <v>264024.10073253291</v>
      </c>
    </row>
    <row r="388" spans="1:10" x14ac:dyDescent="0.3">
      <c r="A388" s="36">
        <f>IF(Values_Entered,A387+1,"")</f>
        <v>371</v>
      </c>
      <c r="B388" s="35">
        <f>IF(Pay_Num&lt;&gt;"",DATE(YEAR(Loan_Start),MONTH(Loan_Start)+(Pay_Num)*12/Num_Pmt_Per_Year,DAY(Loan_Start)),"")</f>
        <v>56674</v>
      </c>
      <c r="C388" s="33">
        <f>IF(Pay_Num&lt;&gt;"",I387,"")</f>
        <v>0</v>
      </c>
      <c r="D388" s="33">
        <f>IF(Pay_Num&lt;&gt;"",Scheduled_Monthly_Payment,"")</f>
        <v>26333.835431927764</v>
      </c>
      <c r="E388" s="34">
        <f>IF(AND(Pay_Num&lt;&gt;"",Sched_Pay+Scheduled_Extra_Payments&lt;Beg_Bal),Scheduled_Extra_Payments,IF(AND(Pay_Num&lt;&gt;"",Beg_Bal-Sched_Pay&gt;0),Beg_Bal-Sched_Pay,IF(Pay_Num&lt;&gt;"",0,"")))</f>
        <v>0</v>
      </c>
      <c r="F388" s="33">
        <f>IF(AND(Pay_Num&lt;&gt;"",Sched_Pay+Extra_Pay&lt;Beg_Bal),Sched_Pay+Extra_Pay,IF(Pay_Num&lt;&gt;"",Beg_Bal,""))</f>
        <v>0</v>
      </c>
      <c r="G388" s="33">
        <f>IF(Pay_Num&lt;&gt;"",Total_Pay-Int,"")</f>
        <v>0</v>
      </c>
      <c r="H388" s="33">
        <f>IF(Pay_Num&lt;&gt;"",Beg_Bal*Interest_Rate/Num_Pmt_Per_Year,"")</f>
        <v>0</v>
      </c>
      <c r="I388" s="33">
        <f>IF(AND(Pay_Num&lt;&gt;"",Sched_Pay+Extra_Pay&lt;Beg_Bal),Beg_Bal-Princ,IF(Pay_Num&lt;&gt;"",0,""))</f>
        <v>0</v>
      </c>
      <c r="J388" s="33">
        <f>SUM($H$18:$H388)</f>
        <v>264024.10073253291</v>
      </c>
    </row>
    <row r="389" spans="1:10" x14ac:dyDescent="0.3">
      <c r="A389" s="36">
        <f>IF(Values_Entered,A388+1,"")</f>
        <v>372</v>
      </c>
      <c r="B389" s="35">
        <f>IF(Pay_Num&lt;&gt;"",DATE(YEAR(Loan_Start),MONTH(Loan_Start)+(Pay_Num)*12/Num_Pmt_Per_Year,DAY(Loan_Start)),"")</f>
        <v>56705</v>
      </c>
      <c r="C389" s="33">
        <f>IF(Pay_Num&lt;&gt;"",I388,"")</f>
        <v>0</v>
      </c>
      <c r="D389" s="33">
        <f>IF(Pay_Num&lt;&gt;"",Scheduled_Monthly_Payment,"")</f>
        <v>26333.835431927764</v>
      </c>
      <c r="E389" s="34">
        <f>IF(AND(Pay_Num&lt;&gt;"",Sched_Pay+Scheduled_Extra_Payments&lt;Beg_Bal),Scheduled_Extra_Payments,IF(AND(Pay_Num&lt;&gt;"",Beg_Bal-Sched_Pay&gt;0),Beg_Bal-Sched_Pay,IF(Pay_Num&lt;&gt;"",0,"")))</f>
        <v>0</v>
      </c>
      <c r="F389" s="33">
        <f>IF(AND(Pay_Num&lt;&gt;"",Sched_Pay+Extra_Pay&lt;Beg_Bal),Sched_Pay+Extra_Pay,IF(Pay_Num&lt;&gt;"",Beg_Bal,""))</f>
        <v>0</v>
      </c>
      <c r="G389" s="33">
        <f>IF(Pay_Num&lt;&gt;"",Total_Pay-Int,"")</f>
        <v>0</v>
      </c>
      <c r="H389" s="33">
        <f>IF(Pay_Num&lt;&gt;"",Beg_Bal*Interest_Rate/Num_Pmt_Per_Year,"")</f>
        <v>0</v>
      </c>
      <c r="I389" s="33">
        <f>IF(AND(Pay_Num&lt;&gt;"",Sched_Pay+Extra_Pay&lt;Beg_Bal),Beg_Bal-Princ,IF(Pay_Num&lt;&gt;"",0,""))</f>
        <v>0</v>
      </c>
      <c r="J389" s="33">
        <f>SUM($H$18:$H389)</f>
        <v>264024.10073253291</v>
      </c>
    </row>
    <row r="390" spans="1:10" x14ac:dyDescent="0.3">
      <c r="A390" s="36">
        <f>IF(Values_Entered,A389+1,"")</f>
        <v>373</v>
      </c>
      <c r="B390" s="35">
        <f>IF(Pay_Num&lt;&gt;"",DATE(YEAR(Loan_Start),MONTH(Loan_Start)+(Pay_Num)*12/Num_Pmt_Per_Year,DAY(Loan_Start)),"")</f>
        <v>56735</v>
      </c>
      <c r="C390" s="33">
        <f>IF(Pay_Num&lt;&gt;"",I389,"")</f>
        <v>0</v>
      </c>
      <c r="D390" s="33">
        <f>IF(Pay_Num&lt;&gt;"",Scheduled_Monthly_Payment,"")</f>
        <v>26333.835431927764</v>
      </c>
      <c r="E390" s="34">
        <f>IF(AND(Pay_Num&lt;&gt;"",Sched_Pay+Scheduled_Extra_Payments&lt;Beg_Bal),Scheduled_Extra_Payments,IF(AND(Pay_Num&lt;&gt;"",Beg_Bal-Sched_Pay&gt;0),Beg_Bal-Sched_Pay,IF(Pay_Num&lt;&gt;"",0,"")))</f>
        <v>0</v>
      </c>
      <c r="F390" s="33">
        <f>IF(AND(Pay_Num&lt;&gt;"",Sched_Pay+Extra_Pay&lt;Beg_Bal),Sched_Pay+Extra_Pay,IF(Pay_Num&lt;&gt;"",Beg_Bal,""))</f>
        <v>0</v>
      </c>
      <c r="G390" s="33">
        <f>IF(Pay_Num&lt;&gt;"",Total_Pay-Int,"")</f>
        <v>0</v>
      </c>
      <c r="H390" s="33">
        <f>IF(Pay_Num&lt;&gt;"",Beg_Bal*Interest_Rate/Num_Pmt_Per_Year,"")</f>
        <v>0</v>
      </c>
      <c r="I390" s="33">
        <f>IF(AND(Pay_Num&lt;&gt;"",Sched_Pay+Extra_Pay&lt;Beg_Bal),Beg_Bal-Princ,IF(Pay_Num&lt;&gt;"",0,""))</f>
        <v>0</v>
      </c>
      <c r="J390" s="33">
        <f>SUM($H$18:$H390)</f>
        <v>264024.10073253291</v>
      </c>
    </row>
    <row r="391" spans="1:10" x14ac:dyDescent="0.3">
      <c r="A391" s="36">
        <f>IF(Values_Entered,A390+1,"")</f>
        <v>374</v>
      </c>
      <c r="B391" s="35">
        <f>IF(Pay_Num&lt;&gt;"",DATE(YEAR(Loan_Start),MONTH(Loan_Start)+(Pay_Num)*12/Num_Pmt_Per_Year,DAY(Loan_Start)),"")</f>
        <v>56766</v>
      </c>
      <c r="C391" s="33">
        <f>IF(Pay_Num&lt;&gt;"",I390,"")</f>
        <v>0</v>
      </c>
      <c r="D391" s="33">
        <f>IF(Pay_Num&lt;&gt;"",Scheduled_Monthly_Payment,"")</f>
        <v>26333.835431927764</v>
      </c>
      <c r="E391" s="34">
        <f>IF(AND(Pay_Num&lt;&gt;"",Sched_Pay+Scheduled_Extra_Payments&lt;Beg_Bal),Scheduled_Extra_Payments,IF(AND(Pay_Num&lt;&gt;"",Beg_Bal-Sched_Pay&gt;0),Beg_Bal-Sched_Pay,IF(Pay_Num&lt;&gt;"",0,"")))</f>
        <v>0</v>
      </c>
      <c r="F391" s="33">
        <f>IF(AND(Pay_Num&lt;&gt;"",Sched_Pay+Extra_Pay&lt;Beg_Bal),Sched_Pay+Extra_Pay,IF(Pay_Num&lt;&gt;"",Beg_Bal,""))</f>
        <v>0</v>
      </c>
      <c r="G391" s="33">
        <f>IF(Pay_Num&lt;&gt;"",Total_Pay-Int,"")</f>
        <v>0</v>
      </c>
      <c r="H391" s="33">
        <f>IF(Pay_Num&lt;&gt;"",Beg_Bal*Interest_Rate/Num_Pmt_Per_Year,"")</f>
        <v>0</v>
      </c>
      <c r="I391" s="33">
        <f>IF(AND(Pay_Num&lt;&gt;"",Sched_Pay+Extra_Pay&lt;Beg_Bal),Beg_Bal-Princ,IF(Pay_Num&lt;&gt;"",0,""))</f>
        <v>0</v>
      </c>
      <c r="J391" s="33">
        <f>SUM($H$18:$H391)</f>
        <v>264024.10073253291</v>
      </c>
    </row>
    <row r="392" spans="1:10" x14ac:dyDescent="0.3">
      <c r="A392" s="36">
        <f>IF(Values_Entered,A391+1,"")</f>
        <v>375</v>
      </c>
      <c r="B392" s="35">
        <f>IF(Pay_Num&lt;&gt;"",DATE(YEAR(Loan_Start),MONTH(Loan_Start)+(Pay_Num)*12/Num_Pmt_Per_Year,DAY(Loan_Start)),"")</f>
        <v>56796</v>
      </c>
      <c r="C392" s="33">
        <f>IF(Pay_Num&lt;&gt;"",I391,"")</f>
        <v>0</v>
      </c>
      <c r="D392" s="33">
        <f>IF(Pay_Num&lt;&gt;"",Scheduled_Monthly_Payment,"")</f>
        <v>26333.835431927764</v>
      </c>
      <c r="E392" s="34">
        <f>IF(AND(Pay_Num&lt;&gt;"",Sched_Pay+Scheduled_Extra_Payments&lt;Beg_Bal),Scheduled_Extra_Payments,IF(AND(Pay_Num&lt;&gt;"",Beg_Bal-Sched_Pay&gt;0),Beg_Bal-Sched_Pay,IF(Pay_Num&lt;&gt;"",0,"")))</f>
        <v>0</v>
      </c>
      <c r="F392" s="33">
        <f>IF(AND(Pay_Num&lt;&gt;"",Sched_Pay+Extra_Pay&lt;Beg_Bal),Sched_Pay+Extra_Pay,IF(Pay_Num&lt;&gt;"",Beg_Bal,""))</f>
        <v>0</v>
      </c>
      <c r="G392" s="33">
        <f>IF(Pay_Num&lt;&gt;"",Total_Pay-Int,"")</f>
        <v>0</v>
      </c>
      <c r="H392" s="33">
        <f>IF(Pay_Num&lt;&gt;"",Beg_Bal*Interest_Rate/Num_Pmt_Per_Year,"")</f>
        <v>0</v>
      </c>
      <c r="I392" s="33">
        <f>IF(AND(Pay_Num&lt;&gt;"",Sched_Pay+Extra_Pay&lt;Beg_Bal),Beg_Bal-Princ,IF(Pay_Num&lt;&gt;"",0,""))</f>
        <v>0</v>
      </c>
      <c r="J392" s="33">
        <f>SUM($H$18:$H392)</f>
        <v>264024.10073253291</v>
      </c>
    </row>
    <row r="393" spans="1:10" x14ac:dyDescent="0.3">
      <c r="A393" s="36">
        <f>IF(Values_Entered,A392+1,"")</f>
        <v>376</v>
      </c>
      <c r="B393" s="35">
        <f>IF(Pay_Num&lt;&gt;"",DATE(YEAR(Loan_Start),MONTH(Loan_Start)+(Pay_Num)*12/Num_Pmt_Per_Year,DAY(Loan_Start)),"")</f>
        <v>56827</v>
      </c>
      <c r="C393" s="33">
        <f>IF(Pay_Num&lt;&gt;"",I392,"")</f>
        <v>0</v>
      </c>
      <c r="D393" s="33">
        <f>IF(Pay_Num&lt;&gt;"",Scheduled_Monthly_Payment,"")</f>
        <v>26333.835431927764</v>
      </c>
      <c r="E393" s="34">
        <f>IF(AND(Pay_Num&lt;&gt;"",Sched_Pay+Scheduled_Extra_Payments&lt;Beg_Bal),Scheduled_Extra_Payments,IF(AND(Pay_Num&lt;&gt;"",Beg_Bal-Sched_Pay&gt;0),Beg_Bal-Sched_Pay,IF(Pay_Num&lt;&gt;"",0,"")))</f>
        <v>0</v>
      </c>
      <c r="F393" s="33">
        <f>IF(AND(Pay_Num&lt;&gt;"",Sched_Pay+Extra_Pay&lt;Beg_Bal),Sched_Pay+Extra_Pay,IF(Pay_Num&lt;&gt;"",Beg_Bal,""))</f>
        <v>0</v>
      </c>
      <c r="G393" s="33">
        <f>IF(Pay_Num&lt;&gt;"",Total_Pay-Int,"")</f>
        <v>0</v>
      </c>
      <c r="H393" s="33">
        <f>IF(Pay_Num&lt;&gt;"",Beg_Bal*Interest_Rate/Num_Pmt_Per_Year,"")</f>
        <v>0</v>
      </c>
      <c r="I393" s="33">
        <f>IF(AND(Pay_Num&lt;&gt;"",Sched_Pay+Extra_Pay&lt;Beg_Bal),Beg_Bal-Princ,IF(Pay_Num&lt;&gt;"",0,""))</f>
        <v>0</v>
      </c>
      <c r="J393" s="33">
        <f>SUM($H$18:$H393)</f>
        <v>264024.10073253291</v>
      </c>
    </row>
    <row r="394" spans="1:10" x14ac:dyDescent="0.3">
      <c r="A394" s="36">
        <f>IF(Values_Entered,A393+1,"")</f>
        <v>377</v>
      </c>
      <c r="B394" s="35">
        <f>IF(Pay_Num&lt;&gt;"",DATE(YEAR(Loan_Start),MONTH(Loan_Start)+(Pay_Num)*12/Num_Pmt_Per_Year,DAY(Loan_Start)),"")</f>
        <v>56858</v>
      </c>
      <c r="C394" s="33">
        <f>IF(Pay_Num&lt;&gt;"",I393,"")</f>
        <v>0</v>
      </c>
      <c r="D394" s="33">
        <f>IF(Pay_Num&lt;&gt;"",Scheduled_Monthly_Payment,"")</f>
        <v>26333.835431927764</v>
      </c>
      <c r="E394" s="34">
        <f>IF(AND(Pay_Num&lt;&gt;"",Sched_Pay+Scheduled_Extra_Payments&lt;Beg_Bal),Scheduled_Extra_Payments,IF(AND(Pay_Num&lt;&gt;"",Beg_Bal-Sched_Pay&gt;0),Beg_Bal-Sched_Pay,IF(Pay_Num&lt;&gt;"",0,"")))</f>
        <v>0</v>
      </c>
      <c r="F394" s="33">
        <f>IF(AND(Pay_Num&lt;&gt;"",Sched_Pay+Extra_Pay&lt;Beg_Bal),Sched_Pay+Extra_Pay,IF(Pay_Num&lt;&gt;"",Beg_Bal,""))</f>
        <v>0</v>
      </c>
      <c r="G394" s="33">
        <f>IF(Pay_Num&lt;&gt;"",Total_Pay-Int,"")</f>
        <v>0</v>
      </c>
      <c r="H394" s="33">
        <f>IF(Pay_Num&lt;&gt;"",Beg_Bal*Interest_Rate/Num_Pmt_Per_Year,"")</f>
        <v>0</v>
      </c>
      <c r="I394" s="33">
        <f>IF(AND(Pay_Num&lt;&gt;"",Sched_Pay+Extra_Pay&lt;Beg_Bal),Beg_Bal-Princ,IF(Pay_Num&lt;&gt;"",0,""))</f>
        <v>0</v>
      </c>
      <c r="J394" s="33">
        <f>SUM($H$18:$H394)</f>
        <v>264024.10073253291</v>
      </c>
    </row>
    <row r="395" spans="1:10" x14ac:dyDescent="0.3">
      <c r="A395" s="36">
        <f>IF(Values_Entered,A394+1,"")</f>
        <v>378</v>
      </c>
      <c r="B395" s="35">
        <f>IF(Pay_Num&lt;&gt;"",DATE(YEAR(Loan_Start),MONTH(Loan_Start)+(Pay_Num)*12/Num_Pmt_Per_Year,DAY(Loan_Start)),"")</f>
        <v>56888</v>
      </c>
      <c r="C395" s="33">
        <f>IF(Pay_Num&lt;&gt;"",I394,"")</f>
        <v>0</v>
      </c>
      <c r="D395" s="33">
        <f>IF(Pay_Num&lt;&gt;"",Scheduled_Monthly_Payment,"")</f>
        <v>26333.835431927764</v>
      </c>
      <c r="E395" s="34">
        <f>IF(AND(Pay_Num&lt;&gt;"",Sched_Pay+Scheduled_Extra_Payments&lt;Beg_Bal),Scheduled_Extra_Payments,IF(AND(Pay_Num&lt;&gt;"",Beg_Bal-Sched_Pay&gt;0),Beg_Bal-Sched_Pay,IF(Pay_Num&lt;&gt;"",0,"")))</f>
        <v>0</v>
      </c>
      <c r="F395" s="33">
        <f>IF(AND(Pay_Num&lt;&gt;"",Sched_Pay+Extra_Pay&lt;Beg_Bal),Sched_Pay+Extra_Pay,IF(Pay_Num&lt;&gt;"",Beg_Bal,""))</f>
        <v>0</v>
      </c>
      <c r="G395" s="33">
        <f>IF(Pay_Num&lt;&gt;"",Total_Pay-Int,"")</f>
        <v>0</v>
      </c>
      <c r="H395" s="33">
        <f>IF(Pay_Num&lt;&gt;"",Beg_Bal*Interest_Rate/Num_Pmt_Per_Year,"")</f>
        <v>0</v>
      </c>
      <c r="I395" s="33">
        <f>IF(AND(Pay_Num&lt;&gt;"",Sched_Pay+Extra_Pay&lt;Beg_Bal),Beg_Bal-Princ,IF(Pay_Num&lt;&gt;"",0,""))</f>
        <v>0</v>
      </c>
      <c r="J395" s="33">
        <f>SUM($H$18:$H395)</f>
        <v>264024.10073253291</v>
      </c>
    </row>
    <row r="396" spans="1:10" x14ac:dyDescent="0.3">
      <c r="A396" s="36">
        <f>IF(Values_Entered,A395+1,"")</f>
        <v>379</v>
      </c>
      <c r="B396" s="35">
        <f>IF(Pay_Num&lt;&gt;"",DATE(YEAR(Loan_Start),MONTH(Loan_Start)+(Pay_Num)*12/Num_Pmt_Per_Year,DAY(Loan_Start)),"")</f>
        <v>56919</v>
      </c>
      <c r="C396" s="33">
        <f>IF(Pay_Num&lt;&gt;"",I395,"")</f>
        <v>0</v>
      </c>
      <c r="D396" s="33">
        <f>IF(Pay_Num&lt;&gt;"",Scheduled_Monthly_Payment,"")</f>
        <v>26333.835431927764</v>
      </c>
      <c r="E396" s="34">
        <f>IF(AND(Pay_Num&lt;&gt;"",Sched_Pay+Scheduled_Extra_Payments&lt;Beg_Bal),Scheduled_Extra_Payments,IF(AND(Pay_Num&lt;&gt;"",Beg_Bal-Sched_Pay&gt;0),Beg_Bal-Sched_Pay,IF(Pay_Num&lt;&gt;"",0,"")))</f>
        <v>0</v>
      </c>
      <c r="F396" s="33">
        <f>IF(AND(Pay_Num&lt;&gt;"",Sched_Pay+Extra_Pay&lt;Beg_Bal),Sched_Pay+Extra_Pay,IF(Pay_Num&lt;&gt;"",Beg_Bal,""))</f>
        <v>0</v>
      </c>
      <c r="G396" s="33">
        <f>IF(Pay_Num&lt;&gt;"",Total_Pay-Int,"")</f>
        <v>0</v>
      </c>
      <c r="H396" s="33">
        <f>IF(Pay_Num&lt;&gt;"",Beg_Bal*Interest_Rate/Num_Pmt_Per_Year,"")</f>
        <v>0</v>
      </c>
      <c r="I396" s="33">
        <f>IF(AND(Pay_Num&lt;&gt;"",Sched_Pay+Extra_Pay&lt;Beg_Bal),Beg_Bal-Princ,IF(Pay_Num&lt;&gt;"",0,""))</f>
        <v>0</v>
      </c>
      <c r="J396" s="33">
        <f>SUM($H$18:$H396)</f>
        <v>264024.10073253291</v>
      </c>
    </row>
    <row r="397" spans="1:10" x14ac:dyDescent="0.3">
      <c r="A397" s="36">
        <f>IF(Values_Entered,A396+1,"")</f>
        <v>380</v>
      </c>
      <c r="B397" s="35">
        <f>IF(Pay_Num&lt;&gt;"",DATE(YEAR(Loan_Start),MONTH(Loan_Start)+(Pay_Num)*12/Num_Pmt_Per_Year,DAY(Loan_Start)),"")</f>
        <v>56949</v>
      </c>
      <c r="C397" s="33">
        <f>IF(Pay_Num&lt;&gt;"",I396,"")</f>
        <v>0</v>
      </c>
      <c r="D397" s="33">
        <f>IF(Pay_Num&lt;&gt;"",Scheduled_Monthly_Payment,"")</f>
        <v>26333.835431927764</v>
      </c>
      <c r="E397" s="34">
        <f>IF(AND(Pay_Num&lt;&gt;"",Sched_Pay+Scheduled_Extra_Payments&lt;Beg_Bal),Scheduled_Extra_Payments,IF(AND(Pay_Num&lt;&gt;"",Beg_Bal-Sched_Pay&gt;0),Beg_Bal-Sched_Pay,IF(Pay_Num&lt;&gt;"",0,"")))</f>
        <v>0</v>
      </c>
      <c r="F397" s="33">
        <f>IF(AND(Pay_Num&lt;&gt;"",Sched_Pay+Extra_Pay&lt;Beg_Bal),Sched_Pay+Extra_Pay,IF(Pay_Num&lt;&gt;"",Beg_Bal,""))</f>
        <v>0</v>
      </c>
      <c r="G397" s="33">
        <f>IF(Pay_Num&lt;&gt;"",Total_Pay-Int,"")</f>
        <v>0</v>
      </c>
      <c r="H397" s="33">
        <f>IF(Pay_Num&lt;&gt;"",Beg_Bal*Interest_Rate/Num_Pmt_Per_Year,"")</f>
        <v>0</v>
      </c>
      <c r="I397" s="33">
        <f>IF(AND(Pay_Num&lt;&gt;"",Sched_Pay+Extra_Pay&lt;Beg_Bal),Beg_Bal-Princ,IF(Pay_Num&lt;&gt;"",0,""))</f>
        <v>0</v>
      </c>
      <c r="J397" s="33">
        <f>SUM($H$18:$H397)</f>
        <v>264024.10073253291</v>
      </c>
    </row>
    <row r="398" spans="1:10" x14ac:dyDescent="0.3">
      <c r="A398" s="36">
        <f>IF(Values_Entered,A397+1,"")</f>
        <v>381</v>
      </c>
      <c r="B398" s="35">
        <f>IF(Pay_Num&lt;&gt;"",DATE(YEAR(Loan_Start),MONTH(Loan_Start)+(Pay_Num)*12/Num_Pmt_Per_Year,DAY(Loan_Start)),"")</f>
        <v>56980</v>
      </c>
      <c r="C398" s="33">
        <f>IF(Pay_Num&lt;&gt;"",I397,"")</f>
        <v>0</v>
      </c>
      <c r="D398" s="33">
        <f>IF(Pay_Num&lt;&gt;"",Scheduled_Monthly_Payment,"")</f>
        <v>26333.835431927764</v>
      </c>
      <c r="E398" s="34">
        <f>IF(AND(Pay_Num&lt;&gt;"",Sched_Pay+Scheduled_Extra_Payments&lt;Beg_Bal),Scheduled_Extra_Payments,IF(AND(Pay_Num&lt;&gt;"",Beg_Bal-Sched_Pay&gt;0),Beg_Bal-Sched_Pay,IF(Pay_Num&lt;&gt;"",0,"")))</f>
        <v>0</v>
      </c>
      <c r="F398" s="33">
        <f>IF(AND(Pay_Num&lt;&gt;"",Sched_Pay+Extra_Pay&lt;Beg_Bal),Sched_Pay+Extra_Pay,IF(Pay_Num&lt;&gt;"",Beg_Bal,""))</f>
        <v>0</v>
      </c>
      <c r="G398" s="33">
        <f>IF(Pay_Num&lt;&gt;"",Total_Pay-Int,"")</f>
        <v>0</v>
      </c>
      <c r="H398" s="33">
        <f>IF(Pay_Num&lt;&gt;"",Beg_Bal*Interest_Rate/Num_Pmt_Per_Year,"")</f>
        <v>0</v>
      </c>
      <c r="I398" s="33">
        <f>IF(AND(Pay_Num&lt;&gt;"",Sched_Pay+Extra_Pay&lt;Beg_Bal),Beg_Bal-Princ,IF(Pay_Num&lt;&gt;"",0,""))</f>
        <v>0</v>
      </c>
      <c r="J398" s="33">
        <f>SUM($H$18:$H398)</f>
        <v>264024.10073253291</v>
      </c>
    </row>
    <row r="399" spans="1:10" x14ac:dyDescent="0.3">
      <c r="A399" s="36">
        <f>IF(Values_Entered,A398+1,"")</f>
        <v>382</v>
      </c>
      <c r="B399" s="35">
        <f>IF(Pay_Num&lt;&gt;"",DATE(YEAR(Loan_Start),MONTH(Loan_Start)+(Pay_Num)*12/Num_Pmt_Per_Year,DAY(Loan_Start)),"")</f>
        <v>57011</v>
      </c>
      <c r="C399" s="33">
        <f>IF(Pay_Num&lt;&gt;"",I398,"")</f>
        <v>0</v>
      </c>
      <c r="D399" s="33">
        <f>IF(Pay_Num&lt;&gt;"",Scheduled_Monthly_Payment,"")</f>
        <v>26333.835431927764</v>
      </c>
      <c r="E399" s="34">
        <f>IF(AND(Pay_Num&lt;&gt;"",Sched_Pay+Scheduled_Extra_Payments&lt;Beg_Bal),Scheduled_Extra_Payments,IF(AND(Pay_Num&lt;&gt;"",Beg_Bal-Sched_Pay&gt;0),Beg_Bal-Sched_Pay,IF(Pay_Num&lt;&gt;"",0,"")))</f>
        <v>0</v>
      </c>
      <c r="F399" s="33">
        <f>IF(AND(Pay_Num&lt;&gt;"",Sched_Pay+Extra_Pay&lt;Beg_Bal),Sched_Pay+Extra_Pay,IF(Pay_Num&lt;&gt;"",Beg_Bal,""))</f>
        <v>0</v>
      </c>
      <c r="G399" s="33">
        <f>IF(Pay_Num&lt;&gt;"",Total_Pay-Int,"")</f>
        <v>0</v>
      </c>
      <c r="H399" s="33">
        <f>IF(Pay_Num&lt;&gt;"",Beg_Bal*Interest_Rate/Num_Pmt_Per_Year,"")</f>
        <v>0</v>
      </c>
      <c r="I399" s="33">
        <f>IF(AND(Pay_Num&lt;&gt;"",Sched_Pay+Extra_Pay&lt;Beg_Bal),Beg_Bal-Princ,IF(Pay_Num&lt;&gt;"",0,""))</f>
        <v>0</v>
      </c>
      <c r="J399" s="33">
        <f>SUM($H$18:$H399)</f>
        <v>264024.10073253291</v>
      </c>
    </row>
    <row r="400" spans="1:10" x14ac:dyDescent="0.3">
      <c r="A400" s="36">
        <f>IF(Values_Entered,A399+1,"")</f>
        <v>383</v>
      </c>
      <c r="B400" s="35">
        <f>IF(Pay_Num&lt;&gt;"",DATE(YEAR(Loan_Start),MONTH(Loan_Start)+(Pay_Num)*12/Num_Pmt_Per_Year,DAY(Loan_Start)),"")</f>
        <v>57040</v>
      </c>
      <c r="C400" s="33">
        <f>IF(Pay_Num&lt;&gt;"",I399,"")</f>
        <v>0</v>
      </c>
      <c r="D400" s="33">
        <f>IF(Pay_Num&lt;&gt;"",Scheduled_Monthly_Payment,"")</f>
        <v>26333.835431927764</v>
      </c>
      <c r="E400" s="34">
        <f>IF(AND(Pay_Num&lt;&gt;"",Sched_Pay+Scheduled_Extra_Payments&lt;Beg_Bal),Scheduled_Extra_Payments,IF(AND(Pay_Num&lt;&gt;"",Beg_Bal-Sched_Pay&gt;0),Beg_Bal-Sched_Pay,IF(Pay_Num&lt;&gt;"",0,"")))</f>
        <v>0</v>
      </c>
      <c r="F400" s="33">
        <f>IF(AND(Pay_Num&lt;&gt;"",Sched_Pay+Extra_Pay&lt;Beg_Bal),Sched_Pay+Extra_Pay,IF(Pay_Num&lt;&gt;"",Beg_Bal,""))</f>
        <v>0</v>
      </c>
      <c r="G400" s="33">
        <f>IF(Pay_Num&lt;&gt;"",Total_Pay-Int,"")</f>
        <v>0</v>
      </c>
      <c r="H400" s="33">
        <f>IF(Pay_Num&lt;&gt;"",Beg_Bal*Interest_Rate/Num_Pmt_Per_Year,"")</f>
        <v>0</v>
      </c>
      <c r="I400" s="33">
        <f>IF(AND(Pay_Num&lt;&gt;"",Sched_Pay+Extra_Pay&lt;Beg_Bal),Beg_Bal-Princ,IF(Pay_Num&lt;&gt;"",0,""))</f>
        <v>0</v>
      </c>
      <c r="J400" s="33">
        <f>SUM($H$18:$H400)</f>
        <v>264024.10073253291</v>
      </c>
    </row>
    <row r="401" spans="1:10" x14ac:dyDescent="0.3">
      <c r="A401" s="36">
        <f>IF(Values_Entered,A400+1,"")</f>
        <v>384</v>
      </c>
      <c r="B401" s="35">
        <f>IF(Pay_Num&lt;&gt;"",DATE(YEAR(Loan_Start),MONTH(Loan_Start)+(Pay_Num)*12/Num_Pmt_Per_Year,DAY(Loan_Start)),"")</f>
        <v>57071</v>
      </c>
      <c r="C401" s="33">
        <f>IF(Pay_Num&lt;&gt;"",I400,"")</f>
        <v>0</v>
      </c>
      <c r="D401" s="33">
        <f>IF(Pay_Num&lt;&gt;"",Scheduled_Monthly_Payment,"")</f>
        <v>26333.835431927764</v>
      </c>
      <c r="E401" s="34">
        <f>IF(AND(Pay_Num&lt;&gt;"",Sched_Pay+Scheduled_Extra_Payments&lt;Beg_Bal),Scheduled_Extra_Payments,IF(AND(Pay_Num&lt;&gt;"",Beg_Bal-Sched_Pay&gt;0),Beg_Bal-Sched_Pay,IF(Pay_Num&lt;&gt;"",0,"")))</f>
        <v>0</v>
      </c>
      <c r="F401" s="33">
        <f>IF(AND(Pay_Num&lt;&gt;"",Sched_Pay+Extra_Pay&lt;Beg_Bal),Sched_Pay+Extra_Pay,IF(Pay_Num&lt;&gt;"",Beg_Bal,""))</f>
        <v>0</v>
      </c>
      <c r="G401" s="33">
        <f>IF(Pay_Num&lt;&gt;"",Total_Pay-Int,"")</f>
        <v>0</v>
      </c>
      <c r="H401" s="33">
        <f>IF(Pay_Num&lt;&gt;"",Beg_Bal*Interest_Rate/Num_Pmt_Per_Year,"")</f>
        <v>0</v>
      </c>
      <c r="I401" s="33">
        <f>IF(AND(Pay_Num&lt;&gt;"",Sched_Pay+Extra_Pay&lt;Beg_Bal),Beg_Bal-Princ,IF(Pay_Num&lt;&gt;"",0,""))</f>
        <v>0</v>
      </c>
      <c r="J401" s="33">
        <f>SUM($H$18:$H401)</f>
        <v>264024.10073253291</v>
      </c>
    </row>
    <row r="402" spans="1:10" x14ac:dyDescent="0.3">
      <c r="A402" s="36">
        <f>IF(Values_Entered,A401+1,"")</f>
        <v>385</v>
      </c>
      <c r="B402" s="35">
        <f>IF(Pay_Num&lt;&gt;"",DATE(YEAR(Loan_Start),MONTH(Loan_Start)+(Pay_Num)*12/Num_Pmt_Per_Year,DAY(Loan_Start)),"")</f>
        <v>57101</v>
      </c>
      <c r="C402" s="33">
        <f>IF(Pay_Num&lt;&gt;"",I401,"")</f>
        <v>0</v>
      </c>
      <c r="D402" s="33">
        <f>IF(Pay_Num&lt;&gt;"",Scheduled_Monthly_Payment,"")</f>
        <v>26333.835431927764</v>
      </c>
      <c r="E402" s="34">
        <f>IF(AND(Pay_Num&lt;&gt;"",Sched_Pay+Scheduled_Extra_Payments&lt;Beg_Bal),Scheduled_Extra_Payments,IF(AND(Pay_Num&lt;&gt;"",Beg_Bal-Sched_Pay&gt;0),Beg_Bal-Sched_Pay,IF(Pay_Num&lt;&gt;"",0,"")))</f>
        <v>0</v>
      </c>
      <c r="F402" s="33">
        <f>IF(AND(Pay_Num&lt;&gt;"",Sched_Pay+Extra_Pay&lt;Beg_Bal),Sched_Pay+Extra_Pay,IF(Pay_Num&lt;&gt;"",Beg_Bal,""))</f>
        <v>0</v>
      </c>
      <c r="G402" s="33">
        <f>IF(Pay_Num&lt;&gt;"",Total_Pay-Int,"")</f>
        <v>0</v>
      </c>
      <c r="H402" s="33">
        <f>IF(Pay_Num&lt;&gt;"",Beg_Bal*Interest_Rate/Num_Pmt_Per_Year,"")</f>
        <v>0</v>
      </c>
      <c r="I402" s="33">
        <f>IF(AND(Pay_Num&lt;&gt;"",Sched_Pay+Extra_Pay&lt;Beg_Bal),Beg_Bal-Princ,IF(Pay_Num&lt;&gt;"",0,""))</f>
        <v>0</v>
      </c>
      <c r="J402" s="33">
        <f>SUM($H$18:$H402)</f>
        <v>264024.10073253291</v>
      </c>
    </row>
    <row r="403" spans="1:10" x14ac:dyDescent="0.3">
      <c r="A403" s="36">
        <f>IF(Values_Entered,A402+1,"")</f>
        <v>386</v>
      </c>
      <c r="B403" s="35">
        <f>IF(Pay_Num&lt;&gt;"",DATE(YEAR(Loan_Start),MONTH(Loan_Start)+(Pay_Num)*12/Num_Pmt_Per_Year,DAY(Loan_Start)),"")</f>
        <v>57132</v>
      </c>
      <c r="C403" s="33">
        <f>IF(Pay_Num&lt;&gt;"",I402,"")</f>
        <v>0</v>
      </c>
      <c r="D403" s="33">
        <f>IF(Pay_Num&lt;&gt;"",Scheduled_Monthly_Payment,"")</f>
        <v>26333.835431927764</v>
      </c>
      <c r="E403" s="34">
        <f>IF(AND(Pay_Num&lt;&gt;"",Sched_Pay+Scheduled_Extra_Payments&lt;Beg_Bal),Scheduled_Extra_Payments,IF(AND(Pay_Num&lt;&gt;"",Beg_Bal-Sched_Pay&gt;0),Beg_Bal-Sched_Pay,IF(Pay_Num&lt;&gt;"",0,"")))</f>
        <v>0</v>
      </c>
      <c r="F403" s="33">
        <f>IF(AND(Pay_Num&lt;&gt;"",Sched_Pay+Extra_Pay&lt;Beg_Bal),Sched_Pay+Extra_Pay,IF(Pay_Num&lt;&gt;"",Beg_Bal,""))</f>
        <v>0</v>
      </c>
      <c r="G403" s="33">
        <f>IF(Pay_Num&lt;&gt;"",Total_Pay-Int,"")</f>
        <v>0</v>
      </c>
      <c r="H403" s="33">
        <f>IF(Pay_Num&lt;&gt;"",Beg_Bal*Interest_Rate/Num_Pmt_Per_Year,"")</f>
        <v>0</v>
      </c>
      <c r="I403" s="33">
        <f>IF(AND(Pay_Num&lt;&gt;"",Sched_Pay+Extra_Pay&lt;Beg_Bal),Beg_Bal-Princ,IF(Pay_Num&lt;&gt;"",0,""))</f>
        <v>0</v>
      </c>
      <c r="J403" s="33">
        <f>SUM($H$18:$H403)</f>
        <v>264024.10073253291</v>
      </c>
    </row>
    <row r="404" spans="1:10" x14ac:dyDescent="0.3">
      <c r="A404" s="36">
        <f>IF(Values_Entered,A403+1,"")</f>
        <v>387</v>
      </c>
      <c r="B404" s="35">
        <f>IF(Pay_Num&lt;&gt;"",DATE(YEAR(Loan_Start),MONTH(Loan_Start)+(Pay_Num)*12/Num_Pmt_Per_Year,DAY(Loan_Start)),"")</f>
        <v>57162</v>
      </c>
      <c r="C404" s="33">
        <f>IF(Pay_Num&lt;&gt;"",I403,"")</f>
        <v>0</v>
      </c>
      <c r="D404" s="33">
        <f>IF(Pay_Num&lt;&gt;"",Scheduled_Monthly_Payment,"")</f>
        <v>26333.835431927764</v>
      </c>
      <c r="E404" s="34">
        <f>IF(AND(Pay_Num&lt;&gt;"",Sched_Pay+Scheduled_Extra_Payments&lt;Beg_Bal),Scheduled_Extra_Payments,IF(AND(Pay_Num&lt;&gt;"",Beg_Bal-Sched_Pay&gt;0),Beg_Bal-Sched_Pay,IF(Pay_Num&lt;&gt;"",0,"")))</f>
        <v>0</v>
      </c>
      <c r="F404" s="33">
        <f>IF(AND(Pay_Num&lt;&gt;"",Sched_Pay+Extra_Pay&lt;Beg_Bal),Sched_Pay+Extra_Pay,IF(Pay_Num&lt;&gt;"",Beg_Bal,""))</f>
        <v>0</v>
      </c>
      <c r="G404" s="33">
        <f>IF(Pay_Num&lt;&gt;"",Total_Pay-Int,"")</f>
        <v>0</v>
      </c>
      <c r="H404" s="33">
        <f>IF(Pay_Num&lt;&gt;"",Beg_Bal*Interest_Rate/Num_Pmt_Per_Year,"")</f>
        <v>0</v>
      </c>
      <c r="I404" s="33">
        <f>IF(AND(Pay_Num&lt;&gt;"",Sched_Pay+Extra_Pay&lt;Beg_Bal),Beg_Bal-Princ,IF(Pay_Num&lt;&gt;"",0,""))</f>
        <v>0</v>
      </c>
      <c r="J404" s="33">
        <f>SUM($H$18:$H404)</f>
        <v>264024.10073253291</v>
      </c>
    </row>
    <row r="405" spans="1:10" x14ac:dyDescent="0.3">
      <c r="A405" s="36">
        <f>IF(Values_Entered,A404+1,"")</f>
        <v>388</v>
      </c>
      <c r="B405" s="35">
        <f>IF(Pay_Num&lt;&gt;"",DATE(YEAR(Loan_Start),MONTH(Loan_Start)+(Pay_Num)*12/Num_Pmt_Per_Year,DAY(Loan_Start)),"")</f>
        <v>57193</v>
      </c>
      <c r="C405" s="33">
        <f>IF(Pay_Num&lt;&gt;"",I404,"")</f>
        <v>0</v>
      </c>
      <c r="D405" s="33">
        <f>IF(Pay_Num&lt;&gt;"",Scheduled_Monthly_Payment,"")</f>
        <v>26333.835431927764</v>
      </c>
      <c r="E405" s="34">
        <f>IF(AND(Pay_Num&lt;&gt;"",Sched_Pay+Scheduled_Extra_Payments&lt;Beg_Bal),Scheduled_Extra_Payments,IF(AND(Pay_Num&lt;&gt;"",Beg_Bal-Sched_Pay&gt;0),Beg_Bal-Sched_Pay,IF(Pay_Num&lt;&gt;"",0,"")))</f>
        <v>0</v>
      </c>
      <c r="F405" s="33">
        <f>IF(AND(Pay_Num&lt;&gt;"",Sched_Pay+Extra_Pay&lt;Beg_Bal),Sched_Pay+Extra_Pay,IF(Pay_Num&lt;&gt;"",Beg_Bal,""))</f>
        <v>0</v>
      </c>
      <c r="G405" s="33">
        <f>IF(Pay_Num&lt;&gt;"",Total_Pay-Int,"")</f>
        <v>0</v>
      </c>
      <c r="H405" s="33">
        <f>IF(Pay_Num&lt;&gt;"",Beg_Bal*Interest_Rate/Num_Pmt_Per_Year,"")</f>
        <v>0</v>
      </c>
      <c r="I405" s="33">
        <f>IF(AND(Pay_Num&lt;&gt;"",Sched_Pay+Extra_Pay&lt;Beg_Bal),Beg_Bal-Princ,IF(Pay_Num&lt;&gt;"",0,""))</f>
        <v>0</v>
      </c>
      <c r="J405" s="33">
        <f>SUM($H$18:$H405)</f>
        <v>264024.10073253291</v>
      </c>
    </row>
    <row r="406" spans="1:10" x14ac:dyDescent="0.3">
      <c r="A406" s="36">
        <f>IF(Values_Entered,A405+1,"")</f>
        <v>389</v>
      </c>
      <c r="B406" s="35">
        <f>IF(Pay_Num&lt;&gt;"",DATE(YEAR(Loan_Start),MONTH(Loan_Start)+(Pay_Num)*12/Num_Pmt_Per_Year,DAY(Loan_Start)),"")</f>
        <v>57224</v>
      </c>
      <c r="C406" s="33">
        <f>IF(Pay_Num&lt;&gt;"",I405,"")</f>
        <v>0</v>
      </c>
      <c r="D406" s="33">
        <f>IF(Pay_Num&lt;&gt;"",Scheduled_Monthly_Payment,"")</f>
        <v>26333.835431927764</v>
      </c>
      <c r="E406" s="34">
        <f>IF(AND(Pay_Num&lt;&gt;"",Sched_Pay+Scheduled_Extra_Payments&lt;Beg_Bal),Scheduled_Extra_Payments,IF(AND(Pay_Num&lt;&gt;"",Beg_Bal-Sched_Pay&gt;0),Beg_Bal-Sched_Pay,IF(Pay_Num&lt;&gt;"",0,"")))</f>
        <v>0</v>
      </c>
      <c r="F406" s="33">
        <f>IF(AND(Pay_Num&lt;&gt;"",Sched_Pay+Extra_Pay&lt;Beg_Bal),Sched_Pay+Extra_Pay,IF(Pay_Num&lt;&gt;"",Beg_Bal,""))</f>
        <v>0</v>
      </c>
      <c r="G406" s="33">
        <f>IF(Pay_Num&lt;&gt;"",Total_Pay-Int,"")</f>
        <v>0</v>
      </c>
      <c r="H406" s="33">
        <f>IF(Pay_Num&lt;&gt;"",Beg_Bal*Interest_Rate/Num_Pmt_Per_Year,"")</f>
        <v>0</v>
      </c>
      <c r="I406" s="33">
        <f>IF(AND(Pay_Num&lt;&gt;"",Sched_Pay+Extra_Pay&lt;Beg_Bal),Beg_Bal-Princ,IF(Pay_Num&lt;&gt;"",0,""))</f>
        <v>0</v>
      </c>
      <c r="J406" s="33">
        <f>SUM($H$18:$H406)</f>
        <v>264024.10073253291</v>
      </c>
    </row>
    <row r="407" spans="1:10" x14ac:dyDescent="0.3">
      <c r="A407" s="36">
        <f>IF(Values_Entered,A406+1,"")</f>
        <v>390</v>
      </c>
      <c r="B407" s="35">
        <f>IF(Pay_Num&lt;&gt;"",DATE(YEAR(Loan_Start),MONTH(Loan_Start)+(Pay_Num)*12/Num_Pmt_Per_Year,DAY(Loan_Start)),"")</f>
        <v>57254</v>
      </c>
      <c r="C407" s="33">
        <f>IF(Pay_Num&lt;&gt;"",I406,"")</f>
        <v>0</v>
      </c>
      <c r="D407" s="33">
        <f>IF(Pay_Num&lt;&gt;"",Scheduled_Monthly_Payment,"")</f>
        <v>26333.835431927764</v>
      </c>
      <c r="E407" s="34">
        <f>IF(AND(Pay_Num&lt;&gt;"",Sched_Pay+Scheduled_Extra_Payments&lt;Beg_Bal),Scheduled_Extra_Payments,IF(AND(Pay_Num&lt;&gt;"",Beg_Bal-Sched_Pay&gt;0),Beg_Bal-Sched_Pay,IF(Pay_Num&lt;&gt;"",0,"")))</f>
        <v>0</v>
      </c>
      <c r="F407" s="33">
        <f>IF(AND(Pay_Num&lt;&gt;"",Sched_Pay+Extra_Pay&lt;Beg_Bal),Sched_Pay+Extra_Pay,IF(Pay_Num&lt;&gt;"",Beg_Bal,""))</f>
        <v>0</v>
      </c>
      <c r="G407" s="33">
        <f>IF(Pay_Num&lt;&gt;"",Total_Pay-Int,"")</f>
        <v>0</v>
      </c>
      <c r="H407" s="33">
        <f>IF(Pay_Num&lt;&gt;"",Beg_Bal*Interest_Rate/Num_Pmt_Per_Year,"")</f>
        <v>0</v>
      </c>
      <c r="I407" s="33">
        <f>IF(AND(Pay_Num&lt;&gt;"",Sched_Pay+Extra_Pay&lt;Beg_Bal),Beg_Bal-Princ,IF(Pay_Num&lt;&gt;"",0,""))</f>
        <v>0</v>
      </c>
      <c r="J407" s="33">
        <f>SUM($H$18:$H407)</f>
        <v>264024.10073253291</v>
      </c>
    </row>
    <row r="408" spans="1:10" x14ac:dyDescent="0.3">
      <c r="A408" s="36">
        <f>IF(Values_Entered,A407+1,"")</f>
        <v>391</v>
      </c>
      <c r="B408" s="35">
        <f>IF(Pay_Num&lt;&gt;"",DATE(YEAR(Loan_Start),MONTH(Loan_Start)+(Pay_Num)*12/Num_Pmt_Per_Year,DAY(Loan_Start)),"")</f>
        <v>57285</v>
      </c>
      <c r="C408" s="33">
        <f>IF(Pay_Num&lt;&gt;"",I407,"")</f>
        <v>0</v>
      </c>
      <c r="D408" s="33">
        <f>IF(Pay_Num&lt;&gt;"",Scheduled_Monthly_Payment,"")</f>
        <v>26333.835431927764</v>
      </c>
      <c r="E408" s="34">
        <f>IF(AND(Pay_Num&lt;&gt;"",Sched_Pay+Scheduled_Extra_Payments&lt;Beg_Bal),Scheduled_Extra_Payments,IF(AND(Pay_Num&lt;&gt;"",Beg_Bal-Sched_Pay&gt;0),Beg_Bal-Sched_Pay,IF(Pay_Num&lt;&gt;"",0,"")))</f>
        <v>0</v>
      </c>
      <c r="F408" s="33">
        <f>IF(AND(Pay_Num&lt;&gt;"",Sched_Pay+Extra_Pay&lt;Beg_Bal),Sched_Pay+Extra_Pay,IF(Pay_Num&lt;&gt;"",Beg_Bal,""))</f>
        <v>0</v>
      </c>
      <c r="G408" s="33">
        <f>IF(Pay_Num&lt;&gt;"",Total_Pay-Int,"")</f>
        <v>0</v>
      </c>
      <c r="H408" s="33">
        <f>IF(Pay_Num&lt;&gt;"",Beg_Bal*Interest_Rate/Num_Pmt_Per_Year,"")</f>
        <v>0</v>
      </c>
      <c r="I408" s="33">
        <f>IF(AND(Pay_Num&lt;&gt;"",Sched_Pay+Extra_Pay&lt;Beg_Bal),Beg_Bal-Princ,IF(Pay_Num&lt;&gt;"",0,""))</f>
        <v>0</v>
      </c>
      <c r="J408" s="33">
        <f>SUM($H$18:$H408)</f>
        <v>264024.10073253291</v>
      </c>
    </row>
    <row r="409" spans="1:10" x14ac:dyDescent="0.3">
      <c r="A409" s="36">
        <f>IF(Values_Entered,A408+1,"")</f>
        <v>392</v>
      </c>
      <c r="B409" s="35">
        <f>IF(Pay_Num&lt;&gt;"",DATE(YEAR(Loan_Start),MONTH(Loan_Start)+(Pay_Num)*12/Num_Pmt_Per_Year,DAY(Loan_Start)),"")</f>
        <v>57315</v>
      </c>
      <c r="C409" s="33">
        <f>IF(Pay_Num&lt;&gt;"",I408,"")</f>
        <v>0</v>
      </c>
      <c r="D409" s="33">
        <f>IF(Pay_Num&lt;&gt;"",Scheduled_Monthly_Payment,"")</f>
        <v>26333.835431927764</v>
      </c>
      <c r="E409" s="34">
        <f>IF(AND(Pay_Num&lt;&gt;"",Sched_Pay+Scheduled_Extra_Payments&lt;Beg_Bal),Scheduled_Extra_Payments,IF(AND(Pay_Num&lt;&gt;"",Beg_Bal-Sched_Pay&gt;0),Beg_Bal-Sched_Pay,IF(Pay_Num&lt;&gt;"",0,"")))</f>
        <v>0</v>
      </c>
      <c r="F409" s="33">
        <f>IF(AND(Pay_Num&lt;&gt;"",Sched_Pay+Extra_Pay&lt;Beg_Bal),Sched_Pay+Extra_Pay,IF(Pay_Num&lt;&gt;"",Beg_Bal,""))</f>
        <v>0</v>
      </c>
      <c r="G409" s="33">
        <f>IF(Pay_Num&lt;&gt;"",Total_Pay-Int,"")</f>
        <v>0</v>
      </c>
      <c r="H409" s="33">
        <f>IF(Pay_Num&lt;&gt;"",Beg_Bal*Interest_Rate/Num_Pmt_Per_Year,"")</f>
        <v>0</v>
      </c>
      <c r="I409" s="33">
        <f>IF(AND(Pay_Num&lt;&gt;"",Sched_Pay+Extra_Pay&lt;Beg_Bal),Beg_Bal-Princ,IF(Pay_Num&lt;&gt;"",0,""))</f>
        <v>0</v>
      </c>
      <c r="J409" s="33">
        <f>SUM($H$18:$H409)</f>
        <v>264024.10073253291</v>
      </c>
    </row>
    <row r="410" spans="1:10" x14ac:dyDescent="0.3">
      <c r="A410" s="36">
        <f>IF(Values_Entered,A409+1,"")</f>
        <v>393</v>
      </c>
      <c r="B410" s="35">
        <f>IF(Pay_Num&lt;&gt;"",DATE(YEAR(Loan_Start),MONTH(Loan_Start)+(Pay_Num)*12/Num_Pmt_Per_Year,DAY(Loan_Start)),"")</f>
        <v>57346</v>
      </c>
      <c r="C410" s="33">
        <f>IF(Pay_Num&lt;&gt;"",I409,"")</f>
        <v>0</v>
      </c>
      <c r="D410" s="33">
        <f>IF(Pay_Num&lt;&gt;"",Scheduled_Monthly_Payment,"")</f>
        <v>26333.835431927764</v>
      </c>
      <c r="E410" s="34">
        <f>IF(AND(Pay_Num&lt;&gt;"",Sched_Pay+Scheduled_Extra_Payments&lt;Beg_Bal),Scheduled_Extra_Payments,IF(AND(Pay_Num&lt;&gt;"",Beg_Bal-Sched_Pay&gt;0),Beg_Bal-Sched_Pay,IF(Pay_Num&lt;&gt;"",0,"")))</f>
        <v>0</v>
      </c>
      <c r="F410" s="33">
        <f>IF(AND(Pay_Num&lt;&gt;"",Sched_Pay+Extra_Pay&lt;Beg_Bal),Sched_Pay+Extra_Pay,IF(Pay_Num&lt;&gt;"",Beg_Bal,""))</f>
        <v>0</v>
      </c>
      <c r="G410" s="33">
        <f>IF(Pay_Num&lt;&gt;"",Total_Pay-Int,"")</f>
        <v>0</v>
      </c>
      <c r="H410" s="33">
        <f>IF(Pay_Num&lt;&gt;"",Beg_Bal*Interest_Rate/Num_Pmt_Per_Year,"")</f>
        <v>0</v>
      </c>
      <c r="I410" s="33">
        <f>IF(AND(Pay_Num&lt;&gt;"",Sched_Pay+Extra_Pay&lt;Beg_Bal),Beg_Bal-Princ,IF(Pay_Num&lt;&gt;"",0,""))</f>
        <v>0</v>
      </c>
      <c r="J410" s="33">
        <f>SUM($H$18:$H410)</f>
        <v>264024.10073253291</v>
      </c>
    </row>
    <row r="411" spans="1:10" x14ac:dyDescent="0.3">
      <c r="A411" s="36">
        <f>IF(Values_Entered,A410+1,"")</f>
        <v>394</v>
      </c>
      <c r="B411" s="35">
        <f>IF(Pay_Num&lt;&gt;"",DATE(YEAR(Loan_Start),MONTH(Loan_Start)+(Pay_Num)*12/Num_Pmt_Per_Year,DAY(Loan_Start)),"")</f>
        <v>57377</v>
      </c>
      <c r="C411" s="33">
        <f>IF(Pay_Num&lt;&gt;"",I410,"")</f>
        <v>0</v>
      </c>
      <c r="D411" s="33">
        <f>IF(Pay_Num&lt;&gt;"",Scheduled_Monthly_Payment,"")</f>
        <v>26333.835431927764</v>
      </c>
      <c r="E411" s="34">
        <f>IF(AND(Pay_Num&lt;&gt;"",Sched_Pay+Scheduled_Extra_Payments&lt;Beg_Bal),Scheduled_Extra_Payments,IF(AND(Pay_Num&lt;&gt;"",Beg_Bal-Sched_Pay&gt;0),Beg_Bal-Sched_Pay,IF(Pay_Num&lt;&gt;"",0,"")))</f>
        <v>0</v>
      </c>
      <c r="F411" s="33">
        <f>IF(AND(Pay_Num&lt;&gt;"",Sched_Pay+Extra_Pay&lt;Beg_Bal),Sched_Pay+Extra_Pay,IF(Pay_Num&lt;&gt;"",Beg_Bal,""))</f>
        <v>0</v>
      </c>
      <c r="G411" s="33">
        <f>IF(Pay_Num&lt;&gt;"",Total_Pay-Int,"")</f>
        <v>0</v>
      </c>
      <c r="H411" s="33">
        <f>IF(Pay_Num&lt;&gt;"",Beg_Bal*Interest_Rate/Num_Pmt_Per_Year,"")</f>
        <v>0</v>
      </c>
      <c r="I411" s="33">
        <f>IF(AND(Pay_Num&lt;&gt;"",Sched_Pay+Extra_Pay&lt;Beg_Bal),Beg_Bal-Princ,IF(Pay_Num&lt;&gt;"",0,""))</f>
        <v>0</v>
      </c>
      <c r="J411" s="33">
        <f>SUM($H$18:$H411)</f>
        <v>264024.10073253291</v>
      </c>
    </row>
    <row r="412" spans="1:10" x14ac:dyDescent="0.3">
      <c r="A412" s="36">
        <f>IF(Values_Entered,A411+1,"")</f>
        <v>395</v>
      </c>
      <c r="B412" s="35">
        <f>IF(Pay_Num&lt;&gt;"",DATE(YEAR(Loan_Start),MONTH(Loan_Start)+(Pay_Num)*12/Num_Pmt_Per_Year,DAY(Loan_Start)),"")</f>
        <v>57405</v>
      </c>
      <c r="C412" s="33">
        <f>IF(Pay_Num&lt;&gt;"",I411,"")</f>
        <v>0</v>
      </c>
      <c r="D412" s="33">
        <f>IF(Pay_Num&lt;&gt;"",Scheduled_Monthly_Payment,"")</f>
        <v>26333.835431927764</v>
      </c>
      <c r="E412" s="34">
        <f>IF(AND(Pay_Num&lt;&gt;"",Sched_Pay+Scheduled_Extra_Payments&lt;Beg_Bal),Scheduled_Extra_Payments,IF(AND(Pay_Num&lt;&gt;"",Beg_Bal-Sched_Pay&gt;0),Beg_Bal-Sched_Pay,IF(Pay_Num&lt;&gt;"",0,"")))</f>
        <v>0</v>
      </c>
      <c r="F412" s="33">
        <f>IF(AND(Pay_Num&lt;&gt;"",Sched_Pay+Extra_Pay&lt;Beg_Bal),Sched_Pay+Extra_Pay,IF(Pay_Num&lt;&gt;"",Beg_Bal,""))</f>
        <v>0</v>
      </c>
      <c r="G412" s="33">
        <f>IF(Pay_Num&lt;&gt;"",Total_Pay-Int,"")</f>
        <v>0</v>
      </c>
      <c r="H412" s="33">
        <f>IF(Pay_Num&lt;&gt;"",Beg_Bal*Interest_Rate/Num_Pmt_Per_Year,"")</f>
        <v>0</v>
      </c>
      <c r="I412" s="33">
        <f>IF(AND(Pay_Num&lt;&gt;"",Sched_Pay+Extra_Pay&lt;Beg_Bal),Beg_Bal-Princ,IF(Pay_Num&lt;&gt;"",0,""))</f>
        <v>0</v>
      </c>
      <c r="J412" s="33">
        <f>SUM($H$18:$H412)</f>
        <v>264024.10073253291</v>
      </c>
    </row>
    <row r="413" spans="1:10" x14ac:dyDescent="0.3">
      <c r="A413" s="36">
        <f>IF(Values_Entered,A412+1,"")</f>
        <v>396</v>
      </c>
      <c r="B413" s="35">
        <f>IF(Pay_Num&lt;&gt;"",DATE(YEAR(Loan_Start),MONTH(Loan_Start)+(Pay_Num)*12/Num_Pmt_Per_Year,DAY(Loan_Start)),"")</f>
        <v>57436</v>
      </c>
      <c r="C413" s="33">
        <f>IF(Pay_Num&lt;&gt;"",I412,"")</f>
        <v>0</v>
      </c>
      <c r="D413" s="33">
        <f>IF(Pay_Num&lt;&gt;"",Scheduled_Monthly_Payment,"")</f>
        <v>26333.835431927764</v>
      </c>
      <c r="E413" s="34">
        <f>IF(AND(Pay_Num&lt;&gt;"",Sched_Pay+Scheduled_Extra_Payments&lt;Beg_Bal),Scheduled_Extra_Payments,IF(AND(Pay_Num&lt;&gt;"",Beg_Bal-Sched_Pay&gt;0),Beg_Bal-Sched_Pay,IF(Pay_Num&lt;&gt;"",0,"")))</f>
        <v>0</v>
      </c>
      <c r="F413" s="33">
        <f>IF(AND(Pay_Num&lt;&gt;"",Sched_Pay+Extra_Pay&lt;Beg_Bal),Sched_Pay+Extra_Pay,IF(Pay_Num&lt;&gt;"",Beg_Bal,""))</f>
        <v>0</v>
      </c>
      <c r="G413" s="33">
        <f>IF(Pay_Num&lt;&gt;"",Total_Pay-Int,"")</f>
        <v>0</v>
      </c>
      <c r="H413" s="33">
        <f>IF(Pay_Num&lt;&gt;"",Beg_Bal*Interest_Rate/Num_Pmt_Per_Year,"")</f>
        <v>0</v>
      </c>
      <c r="I413" s="33">
        <f>IF(AND(Pay_Num&lt;&gt;"",Sched_Pay+Extra_Pay&lt;Beg_Bal),Beg_Bal-Princ,IF(Pay_Num&lt;&gt;"",0,""))</f>
        <v>0</v>
      </c>
      <c r="J413" s="33">
        <f>SUM($H$18:$H413)</f>
        <v>264024.10073253291</v>
      </c>
    </row>
    <row r="414" spans="1:10" x14ac:dyDescent="0.3">
      <c r="A414" s="36">
        <f>IF(Values_Entered,A413+1,"")</f>
        <v>397</v>
      </c>
      <c r="B414" s="35">
        <f>IF(Pay_Num&lt;&gt;"",DATE(YEAR(Loan_Start),MONTH(Loan_Start)+(Pay_Num)*12/Num_Pmt_Per_Year,DAY(Loan_Start)),"")</f>
        <v>57466</v>
      </c>
      <c r="C414" s="33">
        <f>IF(Pay_Num&lt;&gt;"",I413,"")</f>
        <v>0</v>
      </c>
      <c r="D414" s="33">
        <f>IF(Pay_Num&lt;&gt;"",Scheduled_Monthly_Payment,"")</f>
        <v>26333.835431927764</v>
      </c>
      <c r="E414" s="34">
        <f>IF(AND(Pay_Num&lt;&gt;"",Sched_Pay+Scheduled_Extra_Payments&lt;Beg_Bal),Scheduled_Extra_Payments,IF(AND(Pay_Num&lt;&gt;"",Beg_Bal-Sched_Pay&gt;0),Beg_Bal-Sched_Pay,IF(Pay_Num&lt;&gt;"",0,"")))</f>
        <v>0</v>
      </c>
      <c r="F414" s="33">
        <f>IF(AND(Pay_Num&lt;&gt;"",Sched_Pay+Extra_Pay&lt;Beg_Bal),Sched_Pay+Extra_Pay,IF(Pay_Num&lt;&gt;"",Beg_Bal,""))</f>
        <v>0</v>
      </c>
      <c r="G414" s="33">
        <f>IF(Pay_Num&lt;&gt;"",Total_Pay-Int,"")</f>
        <v>0</v>
      </c>
      <c r="H414" s="33">
        <f>IF(Pay_Num&lt;&gt;"",Beg_Bal*Interest_Rate/Num_Pmt_Per_Year,"")</f>
        <v>0</v>
      </c>
      <c r="I414" s="33">
        <f>IF(AND(Pay_Num&lt;&gt;"",Sched_Pay+Extra_Pay&lt;Beg_Bal),Beg_Bal-Princ,IF(Pay_Num&lt;&gt;"",0,""))</f>
        <v>0</v>
      </c>
      <c r="J414" s="33">
        <f>SUM($H$18:$H414)</f>
        <v>264024.10073253291</v>
      </c>
    </row>
    <row r="415" spans="1:10" x14ac:dyDescent="0.3">
      <c r="A415" s="36">
        <f>IF(Values_Entered,A414+1,"")</f>
        <v>398</v>
      </c>
      <c r="B415" s="35">
        <f>IF(Pay_Num&lt;&gt;"",DATE(YEAR(Loan_Start),MONTH(Loan_Start)+(Pay_Num)*12/Num_Pmt_Per_Year,DAY(Loan_Start)),"")</f>
        <v>57497</v>
      </c>
      <c r="C415" s="33">
        <f>IF(Pay_Num&lt;&gt;"",I414,"")</f>
        <v>0</v>
      </c>
      <c r="D415" s="33">
        <f>IF(Pay_Num&lt;&gt;"",Scheduled_Monthly_Payment,"")</f>
        <v>26333.835431927764</v>
      </c>
      <c r="E415" s="34">
        <f>IF(AND(Pay_Num&lt;&gt;"",Sched_Pay+Scheduled_Extra_Payments&lt;Beg_Bal),Scheduled_Extra_Payments,IF(AND(Pay_Num&lt;&gt;"",Beg_Bal-Sched_Pay&gt;0),Beg_Bal-Sched_Pay,IF(Pay_Num&lt;&gt;"",0,"")))</f>
        <v>0</v>
      </c>
      <c r="F415" s="33">
        <f>IF(AND(Pay_Num&lt;&gt;"",Sched_Pay+Extra_Pay&lt;Beg_Bal),Sched_Pay+Extra_Pay,IF(Pay_Num&lt;&gt;"",Beg_Bal,""))</f>
        <v>0</v>
      </c>
      <c r="G415" s="33">
        <f>IF(Pay_Num&lt;&gt;"",Total_Pay-Int,"")</f>
        <v>0</v>
      </c>
      <c r="H415" s="33">
        <f>IF(Pay_Num&lt;&gt;"",Beg_Bal*Interest_Rate/Num_Pmt_Per_Year,"")</f>
        <v>0</v>
      </c>
      <c r="I415" s="33">
        <f>IF(AND(Pay_Num&lt;&gt;"",Sched_Pay+Extra_Pay&lt;Beg_Bal),Beg_Bal-Princ,IF(Pay_Num&lt;&gt;"",0,""))</f>
        <v>0</v>
      </c>
      <c r="J415" s="33">
        <f>SUM($H$18:$H415)</f>
        <v>264024.10073253291</v>
      </c>
    </row>
    <row r="416" spans="1:10" x14ac:dyDescent="0.3">
      <c r="A416" s="36">
        <f>IF(Values_Entered,A415+1,"")</f>
        <v>399</v>
      </c>
      <c r="B416" s="35">
        <f>IF(Pay_Num&lt;&gt;"",DATE(YEAR(Loan_Start),MONTH(Loan_Start)+(Pay_Num)*12/Num_Pmt_Per_Year,DAY(Loan_Start)),"")</f>
        <v>57527</v>
      </c>
      <c r="C416" s="33">
        <f>IF(Pay_Num&lt;&gt;"",I415,"")</f>
        <v>0</v>
      </c>
      <c r="D416" s="33">
        <f>IF(Pay_Num&lt;&gt;"",Scheduled_Monthly_Payment,"")</f>
        <v>26333.835431927764</v>
      </c>
      <c r="E416" s="34">
        <f>IF(AND(Pay_Num&lt;&gt;"",Sched_Pay+Scheduled_Extra_Payments&lt;Beg_Bal),Scheduled_Extra_Payments,IF(AND(Pay_Num&lt;&gt;"",Beg_Bal-Sched_Pay&gt;0),Beg_Bal-Sched_Pay,IF(Pay_Num&lt;&gt;"",0,"")))</f>
        <v>0</v>
      </c>
      <c r="F416" s="33">
        <f>IF(AND(Pay_Num&lt;&gt;"",Sched_Pay+Extra_Pay&lt;Beg_Bal),Sched_Pay+Extra_Pay,IF(Pay_Num&lt;&gt;"",Beg_Bal,""))</f>
        <v>0</v>
      </c>
      <c r="G416" s="33">
        <f>IF(Pay_Num&lt;&gt;"",Total_Pay-Int,"")</f>
        <v>0</v>
      </c>
      <c r="H416" s="33">
        <f>IF(Pay_Num&lt;&gt;"",Beg_Bal*Interest_Rate/Num_Pmt_Per_Year,"")</f>
        <v>0</v>
      </c>
      <c r="I416" s="33">
        <f>IF(AND(Pay_Num&lt;&gt;"",Sched_Pay+Extra_Pay&lt;Beg_Bal),Beg_Bal-Princ,IF(Pay_Num&lt;&gt;"",0,""))</f>
        <v>0</v>
      </c>
      <c r="J416" s="33">
        <f>SUM($H$18:$H416)</f>
        <v>264024.10073253291</v>
      </c>
    </row>
    <row r="417" spans="1:10" x14ac:dyDescent="0.3">
      <c r="A417" s="36">
        <f>IF(Values_Entered,A416+1,"")</f>
        <v>400</v>
      </c>
      <c r="B417" s="35">
        <f>IF(Pay_Num&lt;&gt;"",DATE(YEAR(Loan_Start),MONTH(Loan_Start)+(Pay_Num)*12/Num_Pmt_Per_Year,DAY(Loan_Start)),"")</f>
        <v>57558</v>
      </c>
      <c r="C417" s="33">
        <f>IF(Pay_Num&lt;&gt;"",I416,"")</f>
        <v>0</v>
      </c>
      <c r="D417" s="33">
        <f>IF(Pay_Num&lt;&gt;"",Scheduled_Monthly_Payment,"")</f>
        <v>26333.835431927764</v>
      </c>
      <c r="E417" s="34">
        <f>IF(AND(Pay_Num&lt;&gt;"",Sched_Pay+Scheduled_Extra_Payments&lt;Beg_Bal),Scheduled_Extra_Payments,IF(AND(Pay_Num&lt;&gt;"",Beg_Bal-Sched_Pay&gt;0),Beg_Bal-Sched_Pay,IF(Pay_Num&lt;&gt;"",0,"")))</f>
        <v>0</v>
      </c>
      <c r="F417" s="33">
        <f>IF(AND(Pay_Num&lt;&gt;"",Sched_Pay+Extra_Pay&lt;Beg_Bal),Sched_Pay+Extra_Pay,IF(Pay_Num&lt;&gt;"",Beg_Bal,""))</f>
        <v>0</v>
      </c>
      <c r="G417" s="33">
        <f>IF(Pay_Num&lt;&gt;"",Total_Pay-Int,"")</f>
        <v>0</v>
      </c>
      <c r="H417" s="33">
        <f>IF(Pay_Num&lt;&gt;"",Beg_Bal*Interest_Rate/Num_Pmt_Per_Year,"")</f>
        <v>0</v>
      </c>
      <c r="I417" s="33">
        <f>IF(AND(Pay_Num&lt;&gt;"",Sched_Pay+Extra_Pay&lt;Beg_Bal),Beg_Bal-Princ,IF(Pay_Num&lt;&gt;"",0,""))</f>
        <v>0</v>
      </c>
      <c r="J417" s="33">
        <f>SUM($H$18:$H417)</f>
        <v>264024.10073253291</v>
      </c>
    </row>
    <row r="418" spans="1:10" x14ac:dyDescent="0.3">
      <c r="A418" s="36">
        <f>IF(Values_Entered,A417+1,"")</f>
        <v>401</v>
      </c>
      <c r="B418" s="35">
        <f>IF(Pay_Num&lt;&gt;"",DATE(YEAR(Loan_Start),MONTH(Loan_Start)+(Pay_Num)*12/Num_Pmt_Per_Year,DAY(Loan_Start)),"")</f>
        <v>57589</v>
      </c>
      <c r="C418" s="33">
        <f>IF(Pay_Num&lt;&gt;"",I417,"")</f>
        <v>0</v>
      </c>
      <c r="D418" s="33">
        <f>IF(Pay_Num&lt;&gt;"",Scheduled_Monthly_Payment,"")</f>
        <v>26333.835431927764</v>
      </c>
      <c r="E418" s="34">
        <f>IF(AND(Pay_Num&lt;&gt;"",Sched_Pay+Scheduled_Extra_Payments&lt;Beg_Bal),Scheduled_Extra_Payments,IF(AND(Pay_Num&lt;&gt;"",Beg_Bal-Sched_Pay&gt;0),Beg_Bal-Sched_Pay,IF(Pay_Num&lt;&gt;"",0,"")))</f>
        <v>0</v>
      </c>
      <c r="F418" s="33">
        <f>IF(AND(Pay_Num&lt;&gt;"",Sched_Pay+Extra_Pay&lt;Beg_Bal),Sched_Pay+Extra_Pay,IF(Pay_Num&lt;&gt;"",Beg_Bal,""))</f>
        <v>0</v>
      </c>
      <c r="G418" s="33">
        <f>IF(Pay_Num&lt;&gt;"",Total_Pay-Int,"")</f>
        <v>0</v>
      </c>
      <c r="H418" s="33">
        <f>IF(Pay_Num&lt;&gt;"",Beg_Bal*Interest_Rate/Num_Pmt_Per_Year,"")</f>
        <v>0</v>
      </c>
      <c r="I418" s="33">
        <f>IF(AND(Pay_Num&lt;&gt;"",Sched_Pay+Extra_Pay&lt;Beg_Bal),Beg_Bal-Princ,IF(Pay_Num&lt;&gt;"",0,""))</f>
        <v>0</v>
      </c>
      <c r="J418" s="33">
        <f>SUM($H$18:$H418)</f>
        <v>264024.10073253291</v>
      </c>
    </row>
    <row r="419" spans="1:10" x14ac:dyDescent="0.3">
      <c r="A419" s="36">
        <f>IF(Values_Entered,A418+1,"")</f>
        <v>402</v>
      </c>
      <c r="B419" s="35">
        <f>IF(Pay_Num&lt;&gt;"",DATE(YEAR(Loan_Start),MONTH(Loan_Start)+(Pay_Num)*12/Num_Pmt_Per_Year,DAY(Loan_Start)),"")</f>
        <v>57619</v>
      </c>
      <c r="C419" s="33">
        <f>IF(Pay_Num&lt;&gt;"",I418,"")</f>
        <v>0</v>
      </c>
      <c r="D419" s="33">
        <f>IF(Pay_Num&lt;&gt;"",Scheduled_Monthly_Payment,"")</f>
        <v>26333.835431927764</v>
      </c>
      <c r="E419" s="34">
        <f>IF(AND(Pay_Num&lt;&gt;"",Sched_Pay+Scheduled_Extra_Payments&lt;Beg_Bal),Scheduled_Extra_Payments,IF(AND(Pay_Num&lt;&gt;"",Beg_Bal-Sched_Pay&gt;0),Beg_Bal-Sched_Pay,IF(Pay_Num&lt;&gt;"",0,"")))</f>
        <v>0</v>
      </c>
      <c r="F419" s="33">
        <f>IF(AND(Pay_Num&lt;&gt;"",Sched_Pay+Extra_Pay&lt;Beg_Bal),Sched_Pay+Extra_Pay,IF(Pay_Num&lt;&gt;"",Beg_Bal,""))</f>
        <v>0</v>
      </c>
      <c r="G419" s="33">
        <f>IF(Pay_Num&lt;&gt;"",Total_Pay-Int,"")</f>
        <v>0</v>
      </c>
      <c r="H419" s="33">
        <f>IF(Pay_Num&lt;&gt;"",Beg_Bal*Interest_Rate/Num_Pmt_Per_Year,"")</f>
        <v>0</v>
      </c>
      <c r="I419" s="33">
        <f>IF(AND(Pay_Num&lt;&gt;"",Sched_Pay+Extra_Pay&lt;Beg_Bal),Beg_Bal-Princ,IF(Pay_Num&lt;&gt;"",0,""))</f>
        <v>0</v>
      </c>
      <c r="J419" s="33">
        <f>SUM($H$18:$H419)</f>
        <v>264024.10073253291</v>
      </c>
    </row>
    <row r="420" spans="1:10" x14ac:dyDescent="0.3">
      <c r="A420" s="36">
        <f>IF(Values_Entered,A419+1,"")</f>
        <v>403</v>
      </c>
      <c r="B420" s="35">
        <f>IF(Pay_Num&lt;&gt;"",DATE(YEAR(Loan_Start),MONTH(Loan_Start)+(Pay_Num)*12/Num_Pmt_Per_Year,DAY(Loan_Start)),"")</f>
        <v>57650</v>
      </c>
      <c r="C420" s="33">
        <f>IF(Pay_Num&lt;&gt;"",I419,"")</f>
        <v>0</v>
      </c>
      <c r="D420" s="33">
        <f>IF(Pay_Num&lt;&gt;"",Scheduled_Monthly_Payment,"")</f>
        <v>26333.835431927764</v>
      </c>
      <c r="E420" s="34">
        <f>IF(AND(Pay_Num&lt;&gt;"",Sched_Pay+Scheduled_Extra_Payments&lt;Beg_Bal),Scheduled_Extra_Payments,IF(AND(Pay_Num&lt;&gt;"",Beg_Bal-Sched_Pay&gt;0),Beg_Bal-Sched_Pay,IF(Pay_Num&lt;&gt;"",0,"")))</f>
        <v>0</v>
      </c>
      <c r="F420" s="33">
        <f>IF(AND(Pay_Num&lt;&gt;"",Sched_Pay+Extra_Pay&lt;Beg_Bal),Sched_Pay+Extra_Pay,IF(Pay_Num&lt;&gt;"",Beg_Bal,""))</f>
        <v>0</v>
      </c>
      <c r="G420" s="33">
        <f>IF(Pay_Num&lt;&gt;"",Total_Pay-Int,"")</f>
        <v>0</v>
      </c>
      <c r="H420" s="33">
        <f>IF(Pay_Num&lt;&gt;"",Beg_Bal*Interest_Rate/Num_Pmt_Per_Year,"")</f>
        <v>0</v>
      </c>
      <c r="I420" s="33">
        <f>IF(AND(Pay_Num&lt;&gt;"",Sched_Pay+Extra_Pay&lt;Beg_Bal),Beg_Bal-Princ,IF(Pay_Num&lt;&gt;"",0,""))</f>
        <v>0</v>
      </c>
      <c r="J420" s="33">
        <f>SUM($H$18:$H420)</f>
        <v>264024.10073253291</v>
      </c>
    </row>
    <row r="421" spans="1:10" x14ac:dyDescent="0.3">
      <c r="A421" s="36">
        <f>IF(Values_Entered,A420+1,"")</f>
        <v>404</v>
      </c>
      <c r="B421" s="35">
        <f>IF(Pay_Num&lt;&gt;"",DATE(YEAR(Loan_Start),MONTH(Loan_Start)+(Pay_Num)*12/Num_Pmt_Per_Year,DAY(Loan_Start)),"")</f>
        <v>57680</v>
      </c>
      <c r="C421" s="33">
        <f>IF(Pay_Num&lt;&gt;"",I420,"")</f>
        <v>0</v>
      </c>
      <c r="D421" s="33">
        <f>IF(Pay_Num&lt;&gt;"",Scheduled_Monthly_Payment,"")</f>
        <v>26333.835431927764</v>
      </c>
      <c r="E421" s="34">
        <f>IF(AND(Pay_Num&lt;&gt;"",Sched_Pay+Scheduled_Extra_Payments&lt;Beg_Bal),Scheduled_Extra_Payments,IF(AND(Pay_Num&lt;&gt;"",Beg_Bal-Sched_Pay&gt;0),Beg_Bal-Sched_Pay,IF(Pay_Num&lt;&gt;"",0,"")))</f>
        <v>0</v>
      </c>
      <c r="F421" s="33">
        <f>IF(AND(Pay_Num&lt;&gt;"",Sched_Pay+Extra_Pay&lt;Beg_Bal),Sched_Pay+Extra_Pay,IF(Pay_Num&lt;&gt;"",Beg_Bal,""))</f>
        <v>0</v>
      </c>
      <c r="G421" s="33">
        <f>IF(Pay_Num&lt;&gt;"",Total_Pay-Int,"")</f>
        <v>0</v>
      </c>
      <c r="H421" s="33">
        <f>IF(Pay_Num&lt;&gt;"",Beg_Bal*Interest_Rate/Num_Pmt_Per_Year,"")</f>
        <v>0</v>
      </c>
      <c r="I421" s="33">
        <f>IF(AND(Pay_Num&lt;&gt;"",Sched_Pay+Extra_Pay&lt;Beg_Bal),Beg_Bal-Princ,IF(Pay_Num&lt;&gt;"",0,""))</f>
        <v>0</v>
      </c>
      <c r="J421" s="33">
        <f>SUM($H$18:$H421)</f>
        <v>264024.10073253291</v>
      </c>
    </row>
    <row r="422" spans="1:10" x14ac:dyDescent="0.3">
      <c r="A422" s="36">
        <f>IF(Values_Entered,A421+1,"")</f>
        <v>405</v>
      </c>
      <c r="B422" s="35">
        <f>IF(Pay_Num&lt;&gt;"",DATE(YEAR(Loan_Start),MONTH(Loan_Start)+(Pay_Num)*12/Num_Pmt_Per_Year,DAY(Loan_Start)),"")</f>
        <v>57711</v>
      </c>
      <c r="C422" s="33">
        <f>IF(Pay_Num&lt;&gt;"",I421,"")</f>
        <v>0</v>
      </c>
      <c r="D422" s="33">
        <f>IF(Pay_Num&lt;&gt;"",Scheduled_Monthly_Payment,"")</f>
        <v>26333.835431927764</v>
      </c>
      <c r="E422" s="34">
        <f>IF(AND(Pay_Num&lt;&gt;"",Sched_Pay+Scheduled_Extra_Payments&lt;Beg_Bal),Scheduled_Extra_Payments,IF(AND(Pay_Num&lt;&gt;"",Beg_Bal-Sched_Pay&gt;0),Beg_Bal-Sched_Pay,IF(Pay_Num&lt;&gt;"",0,"")))</f>
        <v>0</v>
      </c>
      <c r="F422" s="33">
        <f>IF(AND(Pay_Num&lt;&gt;"",Sched_Pay+Extra_Pay&lt;Beg_Bal),Sched_Pay+Extra_Pay,IF(Pay_Num&lt;&gt;"",Beg_Bal,""))</f>
        <v>0</v>
      </c>
      <c r="G422" s="33">
        <f>IF(Pay_Num&lt;&gt;"",Total_Pay-Int,"")</f>
        <v>0</v>
      </c>
      <c r="H422" s="33">
        <f>IF(Pay_Num&lt;&gt;"",Beg_Bal*Interest_Rate/Num_Pmt_Per_Year,"")</f>
        <v>0</v>
      </c>
      <c r="I422" s="33">
        <f>IF(AND(Pay_Num&lt;&gt;"",Sched_Pay+Extra_Pay&lt;Beg_Bal),Beg_Bal-Princ,IF(Pay_Num&lt;&gt;"",0,""))</f>
        <v>0</v>
      </c>
      <c r="J422" s="33">
        <f>SUM($H$18:$H422)</f>
        <v>264024.10073253291</v>
      </c>
    </row>
    <row r="423" spans="1:10" x14ac:dyDescent="0.3">
      <c r="A423" s="36">
        <f>IF(Values_Entered,A422+1,"")</f>
        <v>406</v>
      </c>
      <c r="B423" s="35">
        <f>IF(Pay_Num&lt;&gt;"",DATE(YEAR(Loan_Start),MONTH(Loan_Start)+(Pay_Num)*12/Num_Pmt_Per_Year,DAY(Loan_Start)),"")</f>
        <v>57742</v>
      </c>
      <c r="C423" s="33">
        <f>IF(Pay_Num&lt;&gt;"",I422,"")</f>
        <v>0</v>
      </c>
      <c r="D423" s="33">
        <f>IF(Pay_Num&lt;&gt;"",Scheduled_Monthly_Payment,"")</f>
        <v>26333.835431927764</v>
      </c>
      <c r="E423" s="34">
        <f>IF(AND(Pay_Num&lt;&gt;"",Sched_Pay+Scheduled_Extra_Payments&lt;Beg_Bal),Scheduled_Extra_Payments,IF(AND(Pay_Num&lt;&gt;"",Beg_Bal-Sched_Pay&gt;0),Beg_Bal-Sched_Pay,IF(Pay_Num&lt;&gt;"",0,"")))</f>
        <v>0</v>
      </c>
      <c r="F423" s="33">
        <f>IF(AND(Pay_Num&lt;&gt;"",Sched_Pay+Extra_Pay&lt;Beg_Bal),Sched_Pay+Extra_Pay,IF(Pay_Num&lt;&gt;"",Beg_Bal,""))</f>
        <v>0</v>
      </c>
      <c r="G423" s="33">
        <f>IF(Pay_Num&lt;&gt;"",Total_Pay-Int,"")</f>
        <v>0</v>
      </c>
      <c r="H423" s="33">
        <f>IF(Pay_Num&lt;&gt;"",Beg_Bal*Interest_Rate/Num_Pmt_Per_Year,"")</f>
        <v>0</v>
      </c>
      <c r="I423" s="33">
        <f>IF(AND(Pay_Num&lt;&gt;"",Sched_Pay+Extra_Pay&lt;Beg_Bal),Beg_Bal-Princ,IF(Pay_Num&lt;&gt;"",0,""))</f>
        <v>0</v>
      </c>
      <c r="J423" s="33">
        <f>SUM($H$18:$H423)</f>
        <v>264024.10073253291</v>
      </c>
    </row>
    <row r="424" spans="1:10" x14ac:dyDescent="0.3">
      <c r="A424" s="36">
        <f>IF(Values_Entered,A423+1,"")</f>
        <v>407</v>
      </c>
      <c r="B424" s="35">
        <f>IF(Pay_Num&lt;&gt;"",DATE(YEAR(Loan_Start),MONTH(Loan_Start)+(Pay_Num)*12/Num_Pmt_Per_Year,DAY(Loan_Start)),"")</f>
        <v>57770</v>
      </c>
      <c r="C424" s="33">
        <f>IF(Pay_Num&lt;&gt;"",I423,"")</f>
        <v>0</v>
      </c>
      <c r="D424" s="33">
        <f>IF(Pay_Num&lt;&gt;"",Scheduled_Monthly_Payment,"")</f>
        <v>26333.835431927764</v>
      </c>
      <c r="E424" s="34">
        <f>IF(AND(Pay_Num&lt;&gt;"",Sched_Pay+Scheduled_Extra_Payments&lt;Beg_Bal),Scheduled_Extra_Payments,IF(AND(Pay_Num&lt;&gt;"",Beg_Bal-Sched_Pay&gt;0),Beg_Bal-Sched_Pay,IF(Pay_Num&lt;&gt;"",0,"")))</f>
        <v>0</v>
      </c>
      <c r="F424" s="33">
        <f>IF(AND(Pay_Num&lt;&gt;"",Sched_Pay+Extra_Pay&lt;Beg_Bal),Sched_Pay+Extra_Pay,IF(Pay_Num&lt;&gt;"",Beg_Bal,""))</f>
        <v>0</v>
      </c>
      <c r="G424" s="33">
        <f>IF(Pay_Num&lt;&gt;"",Total_Pay-Int,"")</f>
        <v>0</v>
      </c>
      <c r="H424" s="33">
        <f>IF(Pay_Num&lt;&gt;"",Beg_Bal*Interest_Rate/Num_Pmt_Per_Year,"")</f>
        <v>0</v>
      </c>
      <c r="I424" s="33">
        <f>IF(AND(Pay_Num&lt;&gt;"",Sched_Pay+Extra_Pay&lt;Beg_Bal),Beg_Bal-Princ,IF(Pay_Num&lt;&gt;"",0,""))</f>
        <v>0</v>
      </c>
      <c r="J424" s="33">
        <f>SUM($H$18:$H424)</f>
        <v>264024.10073253291</v>
      </c>
    </row>
    <row r="425" spans="1:10" x14ac:dyDescent="0.3">
      <c r="A425" s="36">
        <f>IF(Values_Entered,A424+1,"")</f>
        <v>408</v>
      </c>
      <c r="B425" s="35">
        <f>IF(Pay_Num&lt;&gt;"",DATE(YEAR(Loan_Start),MONTH(Loan_Start)+(Pay_Num)*12/Num_Pmt_Per_Year,DAY(Loan_Start)),"")</f>
        <v>57801</v>
      </c>
      <c r="C425" s="33">
        <f>IF(Pay_Num&lt;&gt;"",I424,"")</f>
        <v>0</v>
      </c>
      <c r="D425" s="33">
        <f>IF(Pay_Num&lt;&gt;"",Scheduled_Monthly_Payment,"")</f>
        <v>26333.835431927764</v>
      </c>
      <c r="E425" s="34">
        <f>IF(AND(Pay_Num&lt;&gt;"",Sched_Pay+Scheduled_Extra_Payments&lt;Beg_Bal),Scheduled_Extra_Payments,IF(AND(Pay_Num&lt;&gt;"",Beg_Bal-Sched_Pay&gt;0),Beg_Bal-Sched_Pay,IF(Pay_Num&lt;&gt;"",0,"")))</f>
        <v>0</v>
      </c>
      <c r="F425" s="33">
        <f>IF(AND(Pay_Num&lt;&gt;"",Sched_Pay+Extra_Pay&lt;Beg_Bal),Sched_Pay+Extra_Pay,IF(Pay_Num&lt;&gt;"",Beg_Bal,""))</f>
        <v>0</v>
      </c>
      <c r="G425" s="33">
        <f>IF(Pay_Num&lt;&gt;"",Total_Pay-Int,"")</f>
        <v>0</v>
      </c>
      <c r="H425" s="33">
        <f>IF(Pay_Num&lt;&gt;"",Beg_Bal*Interest_Rate/Num_Pmt_Per_Year,"")</f>
        <v>0</v>
      </c>
      <c r="I425" s="33">
        <f>IF(AND(Pay_Num&lt;&gt;"",Sched_Pay+Extra_Pay&lt;Beg_Bal),Beg_Bal-Princ,IF(Pay_Num&lt;&gt;"",0,""))</f>
        <v>0</v>
      </c>
      <c r="J425" s="33">
        <f>SUM($H$18:$H425)</f>
        <v>264024.10073253291</v>
      </c>
    </row>
    <row r="426" spans="1:10" x14ac:dyDescent="0.3">
      <c r="A426" s="36">
        <f>IF(Values_Entered,A425+1,"")</f>
        <v>409</v>
      </c>
      <c r="B426" s="35">
        <f>IF(Pay_Num&lt;&gt;"",DATE(YEAR(Loan_Start),MONTH(Loan_Start)+(Pay_Num)*12/Num_Pmt_Per_Year,DAY(Loan_Start)),"")</f>
        <v>57831</v>
      </c>
      <c r="C426" s="33">
        <f>IF(Pay_Num&lt;&gt;"",I425,"")</f>
        <v>0</v>
      </c>
      <c r="D426" s="33">
        <f>IF(Pay_Num&lt;&gt;"",Scheduled_Monthly_Payment,"")</f>
        <v>26333.835431927764</v>
      </c>
      <c r="E426" s="34">
        <f>IF(AND(Pay_Num&lt;&gt;"",Sched_Pay+Scheduled_Extra_Payments&lt;Beg_Bal),Scheduled_Extra_Payments,IF(AND(Pay_Num&lt;&gt;"",Beg_Bal-Sched_Pay&gt;0),Beg_Bal-Sched_Pay,IF(Pay_Num&lt;&gt;"",0,"")))</f>
        <v>0</v>
      </c>
      <c r="F426" s="33">
        <f>IF(AND(Pay_Num&lt;&gt;"",Sched_Pay+Extra_Pay&lt;Beg_Bal),Sched_Pay+Extra_Pay,IF(Pay_Num&lt;&gt;"",Beg_Bal,""))</f>
        <v>0</v>
      </c>
      <c r="G426" s="33">
        <f>IF(Pay_Num&lt;&gt;"",Total_Pay-Int,"")</f>
        <v>0</v>
      </c>
      <c r="H426" s="33">
        <f>IF(Pay_Num&lt;&gt;"",Beg_Bal*Interest_Rate/Num_Pmt_Per_Year,"")</f>
        <v>0</v>
      </c>
      <c r="I426" s="33">
        <f>IF(AND(Pay_Num&lt;&gt;"",Sched_Pay+Extra_Pay&lt;Beg_Bal),Beg_Bal-Princ,IF(Pay_Num&lt;&gt;"",0,""))</f>
        <v>0</v>
      </c>
      <c r="J426" s="33">
        <f>SUM($H$18:$H426)</f>
        <v>264024.10073253291</v>
      </c>
    </row>
    <row r="427" spans="1:10" x14ac:dyDescent="0.3">
      <c r="A427" s="36">
        <f>IF(Values_Entered,A426+1,"")</f>
        <v>410</v>
      </c>
      <c r="B427" s="35">
        <f>IF(Pay_Num&lt;&gt;"",DATE(YEAR(Loan_Start),MONTH(Loan_Start)+(Pay_Num)*12/Num_Pmt_Per_Year,DAY(Loan_Start)),"")</f>
        <v>57862</v>
      </c>
      <c r="C427" s="33">
        <f>IF(Pay_Num&lt;&gt;"",I426,"")</f>
        <v>0</v>
      </c>
      <c r="D427" s="33">
        <f>IF(Pay_Num&lt;&gt;"",Scheduled_Monthly_Payment,"")</f>
        <v>26333.835431927764</v>
      </c>
      <c r="E427" s="34">
        <f>IF(AND(Pay_Num&lt;&gt;"",Sched_Pay+Scheduled_Extra_Payments&lt;Beg_Bal),Scheduled_Extra_Payments,IF(AND(Pay_Num&lt;&gt;"",Beg_Bal-Sched_Pay&gt;0),Beg_Bal-Sched_Pay,IF(Pay_Num&lt;&gt;"",0,"")))</f>
        <v>0</v>
      </c>
      <c r="F427" s="33">
        <f>IF(AND(Pay_Num&lt;&gt;"",Sched_Pay+Extra_Pay&lt;Beg_Bal),Sched_Pay+Extra_Pay,IF(Pay_Num&lt;&gt;"",Beg_Bal,""))</f>
        <v>0</v>
      </c>
      <c r="G427" s="33">
        <f>IF(Pay_Num&lt;&gt;"",Total_Pay-Int,"")</f>
        <v>0</v>
      </c>
      <c r="H427" s="33">
        <f>IF(Pay_Num&lt;&gt;"",Beg_Bal*Interest_Rate/Num_Pmt_Per_Year,"")</f>
        <v>0</v>
      </c>
      <c r="I427" s="33">
        <f>IF(AND(Pay_Num&lt;&gt;"",Sched_Pay+Extra_Pay&lt;Beg_Bal),Beg_Bal-Princ,IF(Pay_Num&lt;&gt;"",0,""))</f>
        <v>0</v>
      </c>
      <c r="J427" s="33">
        <f>SUM($H$18:$H427)</f>
        <v>264024.10073253291</v>
      </c>
    </row>
    <row r="428" spans="1:10" x14ac:dyDescent="0.3">
      <c r="A428" s="36">
        <f>IF(Values_Entered,A427+1,"")</f>
        <v>411</v>
      </c>
      <c r="B428" s="35">
        <f>IF(Pay_Num&lt;&gt;"",DATE(YEAR(Loan_Start),MONTH(Loan_Start)+(Pay_Num)*12/Num_Pmt_Per_Year,DAY(Loan_Start)),"")</f>
        <v>57892</v>
      </c>
      <c r="C428" s="33">
        <f>IF(Pay_Num&lt;&gt;"",I427,"")</f>
        <v>0</v>
      </c>
      <c r="D428" s="33">
        <f>IF(Pay_Num&lt;&gt;"",Scheduled_Monthly_Payment,"")</f>
        <v>26333.835431927764</v>
      </c>
      <c r="E428" s="34">
        <f>IF(AND(Pay_Num&lt;&gt;"",Sched_Pay+Scheduled_Extra_Payments&lt;Beg_Bal),Scheduled_Extra_Payments,IF(AND(Pay_Num&lt;&gt;"",Beg_Bal-Sched_Pay&gt;0),Beg_Bal-Sched_Pay,IF(Pay_Num&lt;&gt;"",0,"")))</f>
        <v>0</v>
      </c>
      <c r="F428" s="33">
        <f>IF(AND(Pay_Num&lt;&gt;"",Sched_Pay+Extra_Pay&lt;Beg_Bal),Sched_Pay+Extra_Pay,IF(Pay_Num&lt;&gt;"",Beg_Bal,""))</f>
        <v>0</v>
      </c>
      <c r="G428" s="33">
        <f>IF(Pay_Num&lt;&gt;"",Total_Pay-Int,"")</f>
        <v>0</v>
      </c>
      <c r="H428" s="33">
        <f>IF(Pay_Num&lt;&gt;"",Beg_Bal*Interest_Rate/Num_Pmt_Per_Year,"")</f>
        <v>0</v>
      </c>
      <c r="I428" s="33">
        <f>IF(AND(Pay_Num&lt;&gt;"",Sched_Pay+Extra_Pay&lt;Beg_Bal),Beg_Bal-Princ,IF(Pay_Num&lt;&gt;"",0,""))</f>
        <v>0</v>
      </c>
      <c r="J428" s="33">
        <f>SUM($H$18:$H428)</f>
        <v>264024.10073253291</v>
      </c>
    </row>
    <row r="429" spans="1:10" x14ac:dyDescent="0.3">
      <c r="A429" s="36">
        <f>IF(Values_Entered,A428+1,"")</f>
        <v>412</v>
      </c>
      <c r="B429" s="35">
        <f>IF(Pay_Num&lt;&gt;"",DATE(YEAR(Loan_Start),MONTH(Loan_Start)+(Pay_Num)*12/Num_Pmt_Per_Year,DAY(Loan_Start)),"")</f>
        <v>57923</v>
      </c>
      <c r="C429" s="33">
        <f>IF(Pay_Num&lt;&gt;"",I428,"")</f>
        <v>0</v>
      </c>
      <c r="D429" s="33">
        <f>IF(Pay_Num&lt;&gt;"",Scheduled_Monthly_Payment,"")</f>
        <v>26333.835431927764</v>
      </c>
      <c r="E429" s="34">
        <f>IF(AND(Pay_Num&lt;&gt;"",Sched_Pay+Scheduled_Extra_Payments&lt;Beg_Bal),Scheduled_Extra_Payments,IF(AND(Pay_Num&lt;&gt;"",Beg_Bal-Sched_Pay&gt;0),Beg_Bal-Sched_Pay,IF(Pay_Num&lt;&gt;"",0,"")))</f>
        <v>0</v>
      </c>
      <c r="F429" s="33">
        <f>IF(AND(Pay_Num&lt;&gt;"",Sched_Pay+Extra_Pay&lt;Beg_Bal),Sched_Pay+Extra_Pay,IF(Pay_Num&lt;&gt;"",Beg_Bal,""))</f>
        <v>0</v>
      </c>
      <c r="G429" s="33">
        <f>IF(Pay_Num&lt;&gt;"",Total_Pay-Int,"")</f>
        <v>0</v>
      </c>
      <c r="H429" s="33">
        <f>IF(Pay_Num&lt;&gt;"",Beg_Bal*Interest_Rate/Num_Pmt_Per_Year,"")</f>
        <v>0</v>
      </c>
      <c r="I429" s="33">
        <f>IF(AND(Pay_Num&lt;&gt;"",Sched_Pay+Extra_Pay&lt;Beg_Bal),Beg_Bal-Princ,IF(Pay_Num&lt;&gt;"",0,""))</f>
        <v>0</v>
      </c>
      <c r="J429" s="33">
        <f>SUM($H$18:$H429)</f>
        <v>264024.10073253291</v>
      </c>
    </row>
    <row r="430" spans="1:10" x14ac:dyDescent="0.3">
      <c r="A430" s="36">
        <f>IF(Values_Entered,A429+1,"")</f>
        <v>413</v>
      </c>
      <c r="B430" s="35">
        <f>IF(Pay_Num&lt;&gt;"",DATE(YEAR(Loan_Start),MONTH(Loan_Start)+(Pay_Num)*12/Num_Pmt_Per_Year,DAY(Loan_Start)),"")</f>
        <v>57954</v>
      </c>
      <c r="C430" s="33">
        <f>IF(Pay_Num&lt;&gt;"",I429,"")</f>
        <v>0</v>
      </c>
      <c r="D430" s="33">
        <f>IF(Pay_Num&lt;&gt;"",Scheduled_Monthly_Payment,"")</f>
        <v>26333.835431927764</v>
      </c>
      <c r="E430" s="34">
        <f>IF(AND(Pay_Num&lt;&gt;"",Sched_Pay+Scheduled_Extra_Payments&lt;Beg_Bal),Scheduled_Extra_Payments,IF(AND(Pay_Num&lt;&gt;"",Beg_Bal-Sched_Pay&gt;0),Beg_Bal-Sched_Pay,IF(Pay_Num&lt;&gt;"",0,"")))</f>
        <v>0</v>
      </c>
      <c r="F430" s="33">
        <f>IF(AND(Pay_Num&lt;&gt;"",Sched_Pay+Extra_Pay&lt;Beg_Bal),Sched_Pay+Extra_Pay,IF(Pay_Num&lt;&gt;"",Beg_Bal,""))</f>
        <v>0</v>
      </c>
      <c r="G430" s="33">
        <f>IF(Pay_Num&lt;&gt;"",Total_Pay-Int,"")</f>
        <v>0</v>
      </c>
      <c r="H430" s="33">
        <f>IF(Pay_Num&lt;&gt;"",Beg_Bal*Interest_Rate/Num_Pmt_Per_Year,"")</f>
        <v>0</v>
      </c>
      <c r="I430" s="33">
        <f>IF(AND(Pay_Num&lt;&gt;"",Sched_Pay+Extra_Pay&lt;Beg_Bal),Beg_Bal-Princ,IF(Pay_Num&lt;&gt;"",0,""))</f>
        <v>0</v>
      </c>
      <c r="J430" s="33">
        <f>SUM($H$18:$H430)</f>
        <v>264024.10073253291</v>
      </c>
    </row>
    <row r="431" spans="1:10" x14ac:dyDescent="0.3">
      <c r="A431" s="36">
        <f>IF(Values_Entered,A430+1,"")</f>
        <v>414</v>
      </c>
      <c r="B431" s="35">
        <f>IF(Pay_Num&lt;&gt;"",DATE(YEAR(Loan_Start),MONTH(Loan_Start)+(Pay_Num)*12/Num_Pmt_Per_Year,DAY(Loan_Start)),"")</f>
        <v>57984</v>
      </c>
      <c r="C431" s="33">
        <f>IF(Pay_Num&lt;&gt;"",I430,"")</f>
        <v>0</v>
      </c>
      <c r="D431" s="33">
        <f>IF(Pay_Num&lt;&gt;"",Scheduled_Monthly_Payment,"")</f>
        <v>26333.835431927764</v>
      </c>
      <c r="E431" s="34">
        <f>IF(AND(Pay_Num&lt;&gt;"",Sched_Pay+Scheduled_Extra_Payments&lt;Beg_Bal),Scheduled_Extra_Payments,IF(AND(Pay_Num&lt;&gt;"",Beg_Bal-Sched_Pay&gt;0),Beg_Bal-Sched_Pay,IF(Pay_Num&lt;&gt;"",0,"")))</f>
        <v>0</v>
      </c>
      <c r="F431" s="33">
        <f>IF(AND(Pay_Num&lt;&gt;"",Sched_Pay+Extra_Pay&lt;Beg_Bal),Sched_Pay+Extra_Pay,IF(Pay_Num&lt;&gt;"",Beg_Bal,""))</f>
        <v>0</v>
      </c>
      <c r="G431" s="33">
        <f>IF(Pay_Num&lt;&gt;"",Total_Pay-Int,"")</f>
        <v>0</v>
      </c>
      <c r="H431" s="33">
        <f>IF(Pay_Num&lt;&gt;"",Beg_Bal*Interest_Rate/Num_Pmt_Per_Year,"")</f>
        <v>0</v>
      </c>
      <c r="I431" s="33">
        <f>IF(AND(Pay_Num&lt;&gt;"",Sched_Pay+Extra_Pay&lt;Beg_Bal),Beg_Bal-Princ,IF(Pay_Num&lt;&gt;"",0,""))</f>
        <v>0</v>
      </c>
      <c r="J431" s="33">
        <f>SUM($H$18:$H431)</f>
        <v>264024.10073253291</v>
      </c>
    </row>
    <row r="432" spans="1:10" x14ac:dyDescent="0.3">
      <c r="A432" s="36">
        <f>IF(Values_Entered,A431+1,"")</f>
        <v>415</v>
      </c>
      <c r="B432" s="35">
        <f>IF(Pay_Num&lt;&gt;"",DATE(YEAR(Loan_Start),MONTH(Loan_Start)+(Pay_Num)*12/Num_Pmt_Per_Year,DAY(Loan_Start)),"")</f>
        <v>58015</v>
      </c>
      <c r="C432" s="33">
        <f>IF(Pay_Num&lt;&gt;"",I431,"")</f>
        <v>0</v>
      </c>
      <c r="D432" s="33">
        <f>IF(Pay_Num&lt;&gt;"",Scheduled_Monthly_Payment,"")</f>
        <v>26333.835431927764</v>
      </c>
      <c r="E432" s="34">
        <f>IF(AND(Pay_Num&lt;&gt;"",Sched_Pay+Scheduled_Extra_Payments&lt;Beg_Bal),Scheduled_Extra_Payments,IF(AND(Pay_Num&lt;&gt;"",Beg_Bal-Sched_Pay&gt;0),Beg_Bal-Sched_Pay,IF(Pay_Num&lt;&gt;"",0,"")))</f>
        <v>0</v>
      </c>
      <c r="F432" s="33">
        <f>IF(AND(Pay_Num&lt;&gt;"",Sched_Pay+Extra_Pay&lt;Beg_Bal),Sched_Pay+Extra_Pay,IF(Pay_Num&lt;&gt;"",Beg_Bal,""))</f>
        <v>0</v>
      </c>
      <c r="G432" s="33">
        <f>IF(Pay_Num&lt;&gt;"",Total_Pay-Int,"")</f>
        <v>0</v>
      </c>
      <c r="H432" s="33">
        <f>IF(Pay_Num&lt;&gt;"",Beg_Bal*Interest_Rate/Num_Pmt_Per_Year,"")</f>
        <v>0</v>
      </c>
      <c r="I432" s="33">
        <f>IF(AND(Pay_Num&lt;&gt;"",Sched_Pay+Extra_Pay&lt;Beg_Bal),Beg_Bal-Princ,IF(Pay_Num&lt;&gt;"",0,""))</f>
        <v>0</v>
      </c>
      <c r="J432" s="33">
        <f>SUM($H$18:$H432)</f>
        <v>264024.10073253291</v>
      </c>
    </row>
    <row r="433" spans="1:10" x14ac:dyDescent="0.3">
      <c r="A433" s="36">
        <f>IF(Values_Entered,A432+1,"")</f>
        <v>416</v>
      </c>
      <c r="B433" s="35">
        <f>IF(Pay_Num&lt;&gt;"",DATE(YEAR(Loan_Start),MONTH(Loan_Start)+(Pay_Num)*12/Num_Pmt_Per_Year,DAY(Loan_Start)),"")</f>
        <v>58045</v>
      </c>
      <c r="C433" s="33">
        <f>IF(Pay_Num&lt;&gt;"",I432,"")</f>
        <v>0</v>
      </c>
      <c r="D433" s="33">
        <f>IF(Pay_Num&lt;&gt;"",Scheduled_Monthly_Payment,"")</f>
        <v>26333.835431927764</v>
      </c>
      <c r="E433" s="34">
        <f>IF(AND(Pay_Num&lt;&gt;"",Sched_Pay+Scheduled_Extra_Payments&lt;Beg_Bal),Scheduled_Extra_Payments,IF(AND(Pay_Num&lt;&gt;"",Beg_Bal-Sched_Pay&gt;0),Beg_Bal-Sched_Pay,IF(Pay_Num&lt;&gt;"",0,"")))</f>
        <v>0</v>
      </c>
      <c r="F433" s="33">
        <f>IF(AND(Pay_Num&lt;&gt;"",Sched_Pay+Extra_Pay&lt;Beg_Bal),Sched_Pay+Extra_Pay,IF(Pay_Num&lt;&gt;"",Beg_Bal,""))</f>
        <v>0</v>
      </c>
      <c r="G433" s="33">
        <f>IF(Pay_Num&lt;&gt;"",Total_Pay-Int,"")</f>
        <v>0</v>
      </c>
      <c r="H433" s="33">
        <f>IF(Pay_Num&lt;&gt;"",Beg_Bal*Interest_Rate/Num_Pmt_Per_Year,"")</f>
        <v>0</v>
      </c>
      <c r="I433" s="33">
        <f>IF(AND(Pay_Num&lt;&gt;"",Sched_Pay+Extra_Pay&lt;Beg_Bal),Beg_Bal-Princ,IF(Pay_Num&lt;&gt;"",0,""))</f>
        <v>0</v>
      </c>
      <c r="J433" s="33">
        <f>SUM($H$18:$H433)</f>
        <v>264024.10073253291</v>
      </c>
    </row>
    <row r="434" spans="1:10" x14ac:dyDescent="0.3">
      <c r="A434" s="36">
        <f>IF(Values_Entered,A433+1,"")</f>
        <v>417</v>
      </c>
      <c r="B434" s="35">
        <f>IF(Pay_Num&lt;&gt;"",DATE(YEAR(Loan_Start),MONTH(Loan_Start)+(Pay_Num)*12/Num_Pmt_Per_Year,DAY(Loan_Start)),"")</f>
        <v>58076</v>
      </c>
      <c r="C434" s="33">
        <f>IF(Pay_Num&lt;&gt;"",I433,"")</f>
        <v>0</v>
      </c>
      <c r="D434" s="33">
        <f>IF(Pay_Num&lt;&gt;"",Scheduled_Monthly_Payment,"")</f>
        <v>26333.835431927764</v>
      </c>
      <c r="E434" s="34">
        <f>IF(AND(Pay_Num&lt;&gt;"",Sched_Pay+Scheduled_Extra_Payments&lt;Beg_Bal),Scheduled_Extra_Payments,IF(AND(Pay_Num&lt;&gt;"",Beg_Bal-Sched_Pay&gt;0),Beg_Bal-Sched_Pay,IF(Pay_Num&lt;&gt;"",0,"")))</f>
        <v>0</v>
      </c>
      <c r="F434" s="33">
        <f>IF(AND(Pay_Num&lt;&gt;"",Sched_Pay+Extra_Pay&lt;Beg_Bal),Sched_Pay+Extra_Pay,IF(Pay_Num&lt;&gt;"",Beg_Bal,""))</f>
        <v>0</v>
      </c>
      <c r="G434" s="33">
        <f>IF(Pay_Num&lt;&gt;"",Total_Pay-Int,"")</f>
        <v>0</v>
      </c>
      <c r="H434" s="33">
        <f>IF(Pay_Num&lt;&gt;"",Beg_Bal*Interest_Rate/Num_Pmt_Per_Year,"")</f>
        <v>0</v>
      </c>
      <c r="I434" s="33">
        <f>IF(AND(Pay_Num&lt;&gt;"",Sched_Pay+Extra_Pay&lt;Beg_Bal),Beg_Bal-Princ,IF(Pay_Num&lt;&gt;"",0,""))</f>
        <v>0</v>
      </c>
      <c r="J434" s="33">
        <f>SUM($H$18:$H434)</f>
        <v>264024.10073253291</v>
      </c>
    </row>
    <row r="435" spans="1:10" x14ac:dyDescent="0.3">
      <c r="A435" s="36">
        <f>IF(Values_Entered,A434+1,"")</f>
        <v>418</v>
      </c>
      <c r="B435" s="35">
        <f>IF(Pay_Num&lt;&gt;"",DATE(YEAR(Loan_Start),MONTH(Loan_Start)+(Pay_Num)*12/Num_Pmt_Per_Year,DAY(Loan_Start)),"")</f>
        <v>58107</v>
      </c>
      <c r="C435" s="33">
        <f>IF(Pay_Num&lt;&gt;"",I434,"")</f>
        <v>0</v>
      </c>
      <c r="D435" s="33">
        <f>IF(Pay_Num&lt;&gt;"",Scheduled_Monthly_Payment,"")</f>
        <v>26333.835431927764</v>
      </c>
      <c r="E435" s="34">
        <f>IF(AND(Pay_Num&lt;&gt;"",Sched_Pay+Scheduled_Extra_Payments&lt;Beg_Bal),Scheduled_Extra_Payments,IF(AND(Pay_Num&lt;&gt;"",Beg_Bal-Sched_Pay&gt;0),Beg_Bal-Sched_Pay,IF(Pay_Num&lt;&gt;"",0,"")))</f>
        <v>0</v>
      </c>
      <c r="F435" s="33">
        <f>IF(AND(Pay_Num&lt;&gt;"",Sched_Pay+Extra_Pay&lt;Beg_Bal),Sched_Pay+Extra_Pay,IF(Pay_Num&lt;&gt;"",Beg_Bal,""))</f>
        <v>0</v>
      </c>
      <c r="G435" s="33">
        <f>IF(Pay_Num&lt;&gt;"",Total_Pay-Int,"")</f>
        <v>0</v>
      </c>
      <c r="H435" s="33">
        <f>IF(Pay_Num&lt;&gt;"",Beg_Bal*Interest_Rate/Num_Pmt_Per_Year,"")</f>
        <v>0</v>
      </c>
      <c r="I435" s="33">
        <f>IF(AND(Pay_Num&lt;&gt;"",Sched_Pay+Extra_Pay&lt;Beg_Bal),Beg_Bal-Princ,IF(Pay_Num&lt;&gt;"",0,""))</f>
        <v>0</v>
      </c>
      <c r="J435" s="33">
        <f>SUM($H$18:$H435)</f>
        <v>264024.10073253291</v>
      </c>
    </row>
    <row r="436" spans="1:10" x14ac:dyDescent="0.3">
      <c r="A436" s="36">
        <f>IF(Values_Entered,A435+1,"")</f>
        <v>419</v>
      </c>
      <c r="B436" s="35">
        <f>IF(Pay_Num&lt;&gt;"",DATE(YEAR(Loan_Start),MONTH(Loan_Start)+(Pay_Num)*12/Num_Pmt_Per_Year,DAY(Loan_Start)),"")</f>
        <v>58135</v>
      </c>
      <c r="C436" s="33">
        <f>IF(Pay_Num&lt;&gt;"",I435,"")</f>
        <v>0</v>
      </c>
      <c r="D436" s="33">
        <f>IF(Pay_Num&lt;&gt;"",Scheduled_Monthly_Payment,"")</f>
        <v>26333.835431927764</v>
      </c>
      <c r="E436" s="34">
        <f>IF(AND(Pay_Num&lt;&gt;"",Sched_Pay+Scheduled_Extra_Payments&lt;Beg_Bal),Scheduled_Extra_Payments,IF(AND(Pay_Num&lt;&gt;"",Beg_Bal-Sched_Pay&gt;0),Beg_Bal-Sched_Pay,IF(Pay_Num&lt;&gt;"",0,"")))</f>
        <v>0</v>
      </c>
      <c r="F436" s="33">
        <f>IF(AND(Pay_Num&lt;&gt;"",Sched_Pay+Extra_Pay&lt;Beg_Bal),Sched_Pay+Extra_Pay,IF(Pay_Num&lt;&gt;"",Beg_Bal,""))</f>
        <v>0</v>
      </c>
      <c r="G436" s="33">
        <f>IF(Pay_Num&lt;&gt;"",Total_Pay-Int,"")</f>
        <v>0</v>
      </c>
      <c r="H436" s="33">
        <f>IF(Pay_Num&lt;&gt;"",Beg_Bal*Interest_Rate/Num_Pmt_Per_Year,"")</f>
        <v>0</v>
      </c>
      <c r="I436" s="33">
        <f>IF(AND(Pay_Num&lt;&gt;"",Sched_Pay+Extra_Pay&lt;Beg_Bal),Beg_Bal-Princ,IF(Pay_Num&lt;&gt;"",0,""))</f>
        <v>0</v>
      </c>
      <c r="J436" s="33">
        <f>SUM($H$18:$H436)</f>
        <v>264024.10073253291</v>
      </c>
    </row>
    <row r="437" spans="1:10" x14ac:dyDescent="0.3">
      <c r="A437" s="36">
        <f>IF(Values_Entered,A436+1,"")</f>
        <v>420</v>
      </c>
      <c r="B437" s="35">
        <f>IF(Pay_Num&lt;&gt;"",DATE(YEAR(Loan_Start),MONTH(Loan_Start)+(Pay_Num)*12/Num_Pmt_Per_Year,DAY(Loan_Start)),"")</f>
        <v>58166</v>
      </c>
      <c r="C437" s="33">
        <f>IF(Pay_Num&lt;&gt;"",I436,"")</f>
        <v>0</v>
      </c>
      <c r="D437" s="33">
        <f>IF(Pay_Num&lt;&gt;"",Scheduled_Monthly_Payment,"")</f>
        <v>26333.835431927764</v>
      </c>
      <c r="E437" s="34">
        <f>IF(AND(Pay_Num&lt;&gt;"",Sched_Pay+Scheduled_Extra_Payments&lt;Beg_Bal),Scheduled_Extra_Payments,IF(AND(Pay_Num&lt;&gt;"",Beg_Bal-Sched_Pay&gt;0),Beg_Bal-Sched_Pay,IF(Pay_Num&lt;&gt;"",0,"")))</f>
        <v>0</v>
      </c>
      <c r="F437" s="33">
        <f>IF(AND(Pay_Num&lt;&gt;"",Sched_Pay+Extra_Pay&lt;Beg_Bal),Sched_Pay+Extra_Pay,IF(Pay_Num&lt;&gt;"",Beg_Bal,""))</f>
        <v>0</v>
      </c>
      <c r="G437" s="33">
        <f>IF(Pay_Num&lt;&gt;"",Total_Pay-Int,"")</f>
        <v>0</v>
      </c>
      <c r="H437" s="33">
        <f>IF(Pay_Num&lt;&gt;"",Beg_Bal*Interest_Rate/Num_Pmt_Per_Year,"")</f>
        <v>0</v>
      </c>
      <c r="I437" s="33">
        <f>IF(AND(Pay_Num&lt;&gt;"",Sched_Pay+Extra_Pay&lt;Beg_Bal),Beg_Bal-Princ,IF(Pay_Num&lt;&gt;"",0,""))</f>
        <v>0</v>
      </c>
      <c r="J437" s="33">
        <f>SUM($H$18:$H437)</f>
        <v>264024.10073253291</v>
      </c>
    </row>
    <row r="438" spans="1:10" x14ac:dyDescent="0.3">
      <c r="A438" s="36">
        <f>IF(Values_Entered,A437+1,"")</f>
        <v>421</v>
      </c>
      <c r="B438" s="35">
        <f>IF(Pay_Num&lt;&gt;"",DATE(YEAR(Loan_Start),MONTH(Loan_Start)+(Pay_Num)*12/Num_Pmt_Per_Year,DAY(Loan_Start)),"")</f>
        <v>58196</v>
      </c>
      <c r="C438" s="33">
        <f>IF(Pay_Num&lt;&gt;"",I437,"")</f>
        <v>0</v>
      </c>
      <c r="D438" s="33">
        <f>IF(Pay_Num&lt;&gt;"",Scheduled_Monthly_Payment,"")</f>
        <v>26333.835431927764</v>
      </c>
      <c r="E438" s="34">
        <f>IF(AND(Pay_Num&lt;&gt;"",Sched_Pay+Scheduled_Extra_Payments&lt;Beg_Bal),Scheduled_Extra_Payments,IF(AND(Pay_Num&lt;&gt;"",Beg_Bal-Sched_Pay&gt;0),Beg_Bal-Sched_Pay,IF(Pay_Num&lt;&gt;"",0,"")))</f>
        <v>0</v>
      </c>
      <c r="F438" s="33">
        <f>IF(AND(Pay_Num&lt;&gt;"",Sched_Pay+Extra_Pay&lt;Beg_Bal),Sched_Pay+Extra_Pay,IF(Pay_Num&lt;&gt;"",Beg_Bal,""))</f>
        <v>0</v>
      </c>
      <c r="G438" s="33">
        <f>IF(Pay_Num&lt;&gt;"",Total_Pay-Int,"")</f>
        <v>0</v>
      </c>
      <c r="H438" s="33">
        <f>IF(Pay_Num&lt;&gt;"",Beg_Bal*Interest_Rate/Num_Pmt_Per_Year,"")</f>
        <v>0</v>
      </c>
      <c r="I438" s="33">
        <f>IF(AND(Pay_Num&lt;&gt;"",Sched_Pay+Extra_Pay&lt;Beg_Bal),Beg_Bal-Princ,IF(Pay_Num&lt;&gt;"",0,""))</f>
        <v>0</v>
      </c>
      <c r="J438" s="33">
        <f>SUM($H$18:$H438)</f>
        <v>264024.10073253291</v>
      </c>
    </row>
    <row r="439" spans="1:10" x14ac:dyDescent="0.3">
      <c r="A439" s="36">
        <f>IF(Values_Entered,A438+1,"")</f>
        <v>422</v>
      </c>
      <c r="B439" s="35">
        <f>IF(Pay_Num&lt;&gt;"",DATE(YEAR(Loan_Start),MONTH(Loan_Start)+(Pay_Num)*12/Num_Pmt_Per_Year,DAY(Loan_Start)),"")</f>
        <v>58227</v>
      </c>
      <c r="C439" s="33">
        <f>IF(Pay_Num&lt;&gt;"",I438,"")</f>
        <v>0</v>
      </c>
      <c r="D439" s="33">
        <f>IF(Pay_Num&lt;&gt;"",Scheduled_Monthly_Payment,"")</f>
        <v>26333.835431927764</v>
      </c>
      <c r="E439" s="34">
        <f>IF(AND(Pay_Num&lt;&gt;"",Sched_Pay+Scheduled_Extra_Payments&lt;Beg_Bal),Scheduled_Extra_Payments,IF(AND(Pay_Num&lt;&gt;"",Beg_Bal-Sched_Pay&gt;0),Beg_Bal-Sched_Pay,IF(Pay_Num&lt;&gt;"",0,"")))</f>
        <v>0</v>
      </c>
      <c r="F439" s="33">
        <f>IF(AND(Pay_Num&lt;&gt;"",Sched_Pay+Extra_Pay&lt;Beg_Bal),Sched_Pay+Extra_Pay,IF(Pay_Num&lt;&gt;"",Beg_Bal,""))</f>
        <v>0</v>
      </c>
      <c r="G439" s="33">
        <f>IF(Pay_Num&lt;&gt;"",Total_Pay-Int,"")</f>
        <v>0</v>
      </c>
      <c r="H439" s="33">
        <f>IF(Pay_Num&lt;&gt;"",Beg_Bal*Interest_Rate/Num_Pmt_Per_Year,"")</f>
        <v>0</v>
      </c>
      <c r="I439" s="33">
        <f>IF(AND(Pay_Num&lt;&gt;"",Sched_Pay+Extra_Pay&lt;Beg_Bal),Beg_Bal-Princ,IF(Pay_Num&lt;&gt;"",0,""))</f>
        <v>0</v>
      </c>
      <c r="J439" s="33">
        <f>SUM($H$18:$H439)</f>
        <v>264024.10073253291</v>
      </c>
    </row>
    <row r="440" spans="1:10" x14ac:dyDescent="0.3">
      <c r="A440" s="36">
        <f>IF(Values_Entered,A439+1,"")</f>
        <v>423</v>
      </c>
      <c r="B440" s="35">
        <f>IF(Pay_Num&lt;&gt;"",DATE(YEAR(Loan_Start),MONTH(Loan_Start)+(Pay_Num)*12/Num_Pmt_Per_Year,DAY(Loan_Start)),"")</f>
        <v>58257</v>
      </c>
      <c r="C440" s="33">
        <f>IF(Pay_Num&lt;&gt;"",I439,"")</f>
        <v>0</v>
      </c>
      <c r="D440" s="33">
        <f>IF(Pay_Num&lt;&gt;"",Scheduled_Monthly_Payment,"")</f>
        <v>26333.835431927764</v>
      </c>
      <c r="E440" s="34">
        <f>IF(AND(Pay_Num&lt;&gt;"",Sched_Pay+Scheduled_Extra_Payments&lt;Beg_Bal),Scheduled_Extra_Payments,IF(AND(Pay_Num&lt;&gt;"",Beg_Bal-Sched_Pay&gt;0),Beg_Bal-Sched_Pay,IF(Pay_Num&lt;&gt;"",0,"")))</f>
        <v>0</v>
      </c>
      <c r="F440" s="33">
        <f>IF(AND(Pay_Num&lt;&gt;"",Sched_Pay+Extra_Pay&lt;Beg_Bal),Sched_Pay+Extra_Pay,IF(Pay_Num&lt;&gt;"",Beg_Bal,""))</f>
        <v>0</v>
      </c>
      <c r="G440" s="33">
        <f>IF(Pay_Num&lt;&gt;"",Total_Pay-Int,"")</f>
        <v>0</v>
      </c>
      <c r="H440" s="33">
        <f>IF(Pay_Num&lt;&gt;"",Beg_Bal*Interest_Rate/Num_Pmt_Per_Year,"")</f>
        <v>0</v>
      </c>
      <c r="I440" s="33">
        <f>IF(AND(Pay_Num&lt;&gt;"",Sched_Pay+Extra_Pay&lt;Beg_Bal),Beg_Bal-Princ,IF(Pay_Num&lt;&gt;"",0,""))</f>
        <v>0</v>
      </c>
      <c r="J440" s="33">
        <f>SUM($H$18:$H440)</f>
        <v>264024.10073253291</v>
      </c>
    </row>
    <row r="441" spans="1:10" x14ac:dyDescent="0.3">
      <c r="A441" s="36">
        <f>IF(Values_Entered,A440+1,"")</f>
        <v>424</v>
      </c>
      <c r="B441" s="35">
        <f>IF(Pay_Num&lt;&gt;"",DATE(YEAR(Loan_Start),MONTH(Loan_Start)+(Pay_Num)*12/Num_Pmt_Per_Year,DAY(Loan_Start)),"")</f>
        <v>58288</v>
      </c>
      <c r="C441" s="33">
        <f>IF(Pay_Num&lt;&gt;"",I440,"")</f>
        <v>0</v>
      </c>
      <c r="D441" s="33">
        <f>IF(Pay_Num&lt;&gt;"",Scheduled_Monthly_Payment,"")</f>
        <v>26333.835431927764</v>
      </c>
      <c r="E441" s="34">
        <f>IF(AND(Pay_Num&lt;&gt;"",Sched_Pay+Scheduled_Extra_Payments&lt;Beg_Bal),Scheduled_Extra_Payments,IF(AND(Pay_Num&lt;&gt;"",Beg_Bal-Sched_Pay&gt;0),Beg_Bal-Sched_Pay,IF(Pay_Num&lt;&gt;"",0,"")))</f>
        <v>0</v>
      </c>
      <c r="F441" s="33">
        <f>IF(AND(Pay_Num&lt;&gt;"",Sched_Pay+Extra_Pay&lt;Beg_Bal),Sched_Pay+Extra_Pay,IF(Pay_Num&lt;&gt;"",Beg_Bal,""))</f>
        <v>0</v>
      </c>
      <c r="G441" s="33">
        <f>IF(Pay_Num&lt;&gt;"",Total_Pay-Int,"")</f>
        <v>0</v>
      </c>
      <c r="H441" s="33">
        <f>IF(Pay_Num&lt;&gt;"",Beg_Bal*Interest_Rate/Num_Pmt_Per_Year,"")</f>
        <v>0</v>
      </c>
      <c r="I441" s="33">
        <f>IF(AND(Pay_Num&lt;&gt;"",Sched_Pay+Extra_Pay&lt;Beg_Bal),Beg_Bal-Princ,IF(Pay_Num&lt;&gt;"",0,""))</f>
        <v>0</v>
      </c>
      <c r="J441" s="33">
        <f>SUM($H$18:$H441)</f>
        <v>264024.10073253291</v>
      </c>
    </row>
    <row r="442" spans="1:10" x14ac:dyDescent="0.3">
      <c r="A442" s="36">
        <f>IF(Values_Entered,A441+1,"")</f>
        <v>425</v>
      </c>
      <c r="B442" s="35">
        <f>IF(Pay_Num&lt;&gt;"",DATE(YEAR(Loan_Start),MONTH(Loan_Start)+(Pay_Num)*12/Num_Pmt_Per_Year,DAY(Loan_Start)),"")</f>
        <v>58319</v>
      </c>
      <c r="C442" s="33">
        <f>IF(Pay_Num&lt;&gt;"",I441,"")</f>
        <v>0</v>
      </c>
      <c r="D442" s="33">
        <f>IF(Pay_Num&lt;&gt;"",Scheduled_Monthly_Payment,"")</f>
        <v>26333.835431927764</v>
      </c>
      <c r="E442" s="34">
        <f>IF(AND(Pay_Num&lt;&gt;"",Sched_Pay+Scheduled_Extra_Payments&lt;Beg_Bal),Scheduled_Extra_Payments,IF(AND(Pay_Num&lt;&gt;"",Beg_Bal-Sched_Pay&gt;0),Beg_Bal-Sched_Pay,IF(Pay_Num&lt;&gt;"",0,"")))</f>
        <v>0</v>
      </c>
      <c r="F442" s="33">
        <f>IF(AND(Pay_Num&lt;&gt;"",Sched_Pay+Extra_Pay&lt;Beg_Bal),Sched_Pay+Extra_Pay,IF(Pay_Num&lt;&gt;"",Beg_Bal,""))</f>
        <v>0</v>
      </c>
      <c r="G442" s="33">
        <f>IF(Pay_Num&lt;&gt;"",Total_Pay-Int,"")</f>
        <v>0</v>
      </c>
      <c r="H442" s="33">
        <f>IF(Pay_Num&lt;&gt;"",Beg_Bal*Interest_Rate/Num_Pmt_Per_Year,"")</f>
        <v>0</v>
      </c>
      <c r="I442" s="33">
        <f>IF(AND(Pay_Num&lt;&gt;"",Sched_Pay+Extra_Pay&lt;Beg_Bal),Beg_Bal-Princ,IF(Pay_Num&lt;&gt;"",0,""))</f>
        <v>0</v>
      </c>
      <c r="J442" s="33">
        <f>SUM($H$18:$H442)</f>
        <v>264024.10073253291</v>
      </c>
    </row>
    <row r="443" spans="1:10" x14ac:dyDescent="0.3">
      <c r="A443" s="36">
        <f>IF(Values_Entered,A442+1,"")</f>
        <v>426</v>
      </c>
      <c r="B443" s="35">
        <f>IF(Pay_Num&lt;&gt;"",DATE(YEAR(Loan_Start),MONTH(Loan_Start)+(Pay_Num)*12/Num_Pmt_Per_Year,DAY(Loan_Start)),"")</f>
        <v>58349</v>
      </c>
      <c r="C443" s="33">
        <f>IF(Pay_Num&lt;&gt;"",I442,"")</f>
        <v>0</v>
      </c>
      <c r="D443" s="33">
        <f>IF(Pay_Num&lt;&gt;"",Scheduled_Monthly_Payment,"")</f>
        <v>26333.835431927764</v>
      </c>
      <c r="E443" s="34">
        <f>IF(AND(Pay_Num&lt;&gt;"",Sched_Pay+Scheduled_Extra_Payments&lt;Beg_Bal),Scheduled_Extra_Payments,IF(AND(Pay_Num&lt;&gt;"",Beg_Bal-Sched_Pay&gt;0),Beg_Bal-Sched_Pay,IF(Pay_Num&lt;&gt;"",0,"")))</f>
        <v>0</v>
      </c>
      <c r="F443" s="33">
        <f>IF(AND(Pay_Num&lt;&gt;"",Sched_Pay+Extra_Pay&lt;Beg_Bal),Sched_Pay+Extra_Pay,IF(Pay_Num&lt;&gt;"",Beg_Bal,""))</f>
        <v>0</v>
      </c>
      <c r="G443" s="33">
        <f>IF(Pay_Num&lt;&gt;"",Total_Pay-Int,"")</f>
        <v>0</v>
      </c>
      <c r="H443" s="33">
        <f>IF(Pay_Num&lt;&gt;"",Beg_Bal*Interest_Rate/Num_Pmt_Per_Year,"")</f>
        <v>0</v>
      </c>
      <c r="I443" s="33">
        <f>IF(AND(Pay_Num&lt;&gt;"",Sched_Pay+Extra_Pay&lt;Beg_Bal),Beg_Bal-Princ,IF(Pay_Num&lt;&gt;"",0,""))</f>
        <v>0</v>
      </c>
      <c r="J443" s="33">
        <f>SUM($H$18:$H443)</f>
        <v>264024.10073253291</v>
      </c>
    </row>
    <row r="444" spans="1:10" x14ac:dyDescent="0.3">
      <c r="A444" s="36">
        <f>IF(Values_Entered,A443+1,"")</f>
        <v>427</v>
      </c>
      <c r="B444" s="35">
        <f>IF(Pay_Num&lt;&gt;"",DATE(YEAR(Loan_Start),MONTH(Loan_Start)+(Pay_Num)*12/Num_Pmt_Per_Year,DAY(Loan_Start)),"")</f>
        <v>58380</v>
      </c>
      <c r="C444" s="33">
        <f>IF(Pay_Num&lt;&gt;"",I443,"")</f>
        <v>0</v>
      </c>
      <c r="D444" s="33">
        <f>IF(Pay_Num&lt;&gt;"",Scheduled_Monthly_Payment,"")</f>
        <v>26333.835431927764</v>
      </c>
      <c r="E444" s="34">
        <f>IF(AND(Pay_Num&lt;&gt;"",Sched_Pay+Scheduled_Extra_Payments&lt;Beg_Bal),Scheduled_Extra_Payments,IF(AND(Pay_Num&lt;&gt;"",Beg_Bal-Sched_Pay&gt;0),Beg_Bal-Sched_Pay,IF(Pay_Num&lt;&gt;"",0,"")))</f>
        <v>0</v>
      </c>
      <c r="F444" s="33">
        <f>IF(AND(Pay_Num&lt;&gt;"",Sched_Pay+Extra_Pay&lt;Beg_Bal),Sched_Pay+Extra_Pay,IF(Pay_Num&lt;&gt;"",Beg_Bal,""))</f>
        <v>0</v>
      </c>
      <c r="G444" s="33">
        <f>IF(Pay_Num&lt;&gt;"",Total_Pay-Int,"")</f>
        <v>0</v>
      </c>
      <c r="H444" s="33">
        <f>IF(Pay_Num&lt;&gt;"",Beg_Bal*Interest_Rate/Num_Pmt_Per_Year,"")</f>
        <v>0</v>
      </c>
      <c r="I444" s="33">
        <f>IF(AND(Pay_Num&lt;&gt;"",Sched_Pay+Extra_Pay&lt;Beg_Bal),Beg_Bal-Princ,IF(Pay_Num&lt;&gt;"",0,""))</f>
        <v>0</v>
      </c>
      <c r="J444" s="33">
        <f>SUM($H$18:$H444)</f>
        <v>264024.10073253291</v>
      </c>
    </row>
    <row r="445" spans="1:10" x14ac:dyDescent="0.3">
      <c r="A445" s="36">
        <f>IF(Values_Entered,A444+1,"")</f>
        <v>428</v>
      </c>
      <c r="B445" s="35">
        <f>IF(Pay_Num&lt;&gt;"",DATE(YEAR(Loan_Start),MONTH(Loan_Start)+(Pay_Num)*12/Num_Pmt_Per_Year,DAY(Loan_Start)),"")</f>
        <v>58410</v>
      </c>
      <c r="C445" s="33">
        <f>IF(Pay_Num&lt;&gt;"",I444,"")</f>
        <v>0</v>
      </c>
      <c r="D445" s="33">
        <f>IF(Pay_Num&lt;&gt;"",Scheduled_Monthly_Payment,"")</f>
        <v>26333.835431927764</v>
      </c>
      <c r="E445" s="34">
        <f>IF(AND(Pay_Num&lt;&gt;"",Sched_Pay+Scheduled_Extra_Payments&lt;Beg_Bal),Scheduled_Extra_Payments,IF(AND(Pay_Num&lt;&gt;"",Beg_Bal-Sched_Pay&gt;0),Beg_Bal-Sched_Pay,IF(Pay_Num&lt;&gt;"",0,"")))</f>
        <v>0</v>
      </c>
      <c r="F445" s="33">
        <f>IF(AND(Pay_Num&lt;&gt;"",Sched_Pay+Extra_Pay&lt;Beg_Bal),Sched_Pay+Extra_Pay,IF(Pay_Num&lt;&gt;"",Beg_Bal,""))</f>
        <v>0</v>
      </c>
      <c r="G445" s="33">
        <f>IF(Pay_Num&lt;&gt;"",Total_Pay-Int,"")</f>
        <v>0</v>
      </c>
      <c r="H445" s="33">
        <f>IF(Pay_Num&lt;&gt;"",Beg_Bal*Interest_Rate/Num_Pmt_Per_Year,"")</f>
        <v>0</v>
      </c>
      <c r="I445" s="33">
        <f>IF(AND(Pay_Num&lt;&gt;"",Sched_Pay+Extra_Pay&lt;Beg_Bal),Beg_Bal-Princ,IF(Pay_Num&lt;&gt;"",0,""))</f>
        <v>0</v>
      </c>
      <c r="J445" s="33">
        <f>SUM($H$18:$H445)</f>
        <v>264024.10073253291</v>
      </c>
    </row>
    <row r="446" spans="1:10" x14ac:dyDescent="0.3">
      <c r="A446" s="36">
        <f>IF(Values_Entered,A445+1,"")</f>
        <v>429</v>
      </c>
      <c r="B446" s="35">
        <f>IF(Pay_Num&lt;&gt;"",DATE(YEAR(Loan_Start),MONTH(Loan_Start)+(Pay_Num)*12/Num_Pmt_Per_Year,DAY(Loan_Start)),"")</f>
        <v>58441</v>
      </c>
      <c r="C446" s="33">
        <f>IF(Pay_Num&lt;&gt;"",I445,"")</f>
        <v>0</v>
      </c>
      <c r="D446" s="33">
        <f>IF(Pay_Num&lt;&gt;"",Scheduled_Monthly_Payment,"")</f>
        <v>26333.835431927764</v>
      </c>
      <c r="E446" s="34">
        <f>IF(AND(Pay_Num&lt;&gt;"",Sched_Pay+Scheduled_Extra_Payments&lt;Beg_Bal),Scheduled_Extra_Payments,IF(AND(Pay_Num&lt;&gt;"",Beg_Bal-Sched_Pay&gt;0),Beg_Bal-Sched_Pay,IF(Pay_Num&lt;&gt;"",0,"")))</f>
        <v>0</v>
      </c>
      <c r="F446" s="33">
        <f>IF(AND(Pay_Num&lt;&gt;"",Sched_Pay+Extra_Pay&lt;Beg_Bal),Sched_Pay+Extra_Pay,IF(Pay_Num&lt;&gt;"",Beg_Bal,""))</f>
        <v>0</v>
      </c>
      <c r="G446" s="33">
        <f>IF(Pay_Num&lt;&gt;"",Total_Pay-Int,"")</f>
        <v>0</v>
      </c>
      <c r="H446" s="33">
        <f>IF(Pay_Num&lt;&gt;"",Beg_Bal*Interest_Rate/Num_Pmt_Per_Year,"")</f>
        <v>0</v>
      </c>
      <c r="I446" s="33">
        <f>IF(AND(Pay_Num&lt;&gt;"",Sched_Pay+Extra_Pay&lt;Beg_Bal),Beg_Bal-Princ,IF(Pay_Num&lt;&gt;"",0,""))</f>
        <v>0</v>
      </c>
      <c r="J446" s="33">
        <f>SUM($H$18:$H446)</f>
        <v>264024.10073253291</v>
      </c>
    </row>
    <row r="447" spans="1:10" x14ac:dyDescent="0.3">
      <c r="A447" s="36">
        <f>IF(Values_Entered,A446+1,"")</f>
        <v>430</v>
      </c>
      <c r="B447" s="35">
        <f>IF(Pay_Num&lt;&gt;"",DATE(YEAR(Loan_Start),MONTH(Loan_Start)+(Pay_Num)*12/Num_Pmt_Per_Year,DAY(Loan_Start)),"")</f>
        <v>58472</v>
      </c>
      <c r="C447" s="33">
        <f>IF(Pay_Num&lt;&gt;"",I446,"")</f>
        <v>0</v>
      </c>
      <c r="D447" s="33">
        <f>IF(Pay_Num&lt;&gt;"",Scheduled_Monthly_Payment,"")</f>
        <v>26333.835431927764</v>
      </c>
      <c r="E447" s="34">
        <f>IF(AND(Pay_Num&lt;&gt;"",Sched_Pay+Scheduled_Extra_Payments&lt;Beg_Bal),Scheduled_Extra_Payments,IF(AND(Pay_Num&lt;&gt;"",Beg_Bal-Sched_Pay&gt;0),Beg_Bal-Sched_Pay,IF(Pay_Num&lt;&gt;"",0,"")))</f>
        <v>0</v>
      </c>
      <c r="F447" s="33">
        <f>IF(AND(Pay_Num&lt;&gt;"",Sched_Pay+Extra_Pay&lt;Beg_Bal),Sched_Pay+Extra_Pay,IF(Pay_Num&lt;&gt;"",Beg_Bal,""))</f>
        <v>0</v>
      </c>
      <c r="G447" s="33">
        <f>IF(Pay_Num&lt;&gt;"",Total_Pay-Int,"")</f>
        <v>0</v>
      </c>
      <c r="H447" s="33">
        <f>IF(Pay_Num&lt;&gt;"",Beg_Bal*Interest_Rate/Num_Pmt_Per_Year,"")</f>
        <v>0</v>
      </c>
      <c r="I447" s="33">
        <f>IF(AND(Pay_Num&lt;&gt;"",Sched_Pay+Extra_Pay&lt;Beg_Bal),Beg_Bal-Princ,IF(Pay_Num&lt;&gt;"",0,""))</f>
        <v>0</v>
      </c>
      <c r="J447" s="33">
        <f>SUM($H$18:$H447)</f>
        <v>264024.10073253291</v>
      </c>
    </row>
    <row r="448" spans="1:10" x14ac:dyDescent="0.3">
      <c r="A448" s="36">
        <f>IF(Values_Entered,A447+1,"")</f>
        <v>431</v>
      </c>
      <c r="B448" s="35">
        <f>IF(Pay_Num&lt;&gt;"",DATE(YEAR(Loan_Start),MONTH(Loan_Start)+(Pay_Num)*12/Num_Pmt_Per_Year,DAY(Loan_Start)),"")</f>
        <v>58501</v>
      </c>
      <c r="C448" s="33">
        <f>IF(Pay_Num&lt;&gt;"",I447,"")</f>
        <v>0</v>
      </c>
      <c r="D448" s="33">
        <f>IF(Pay_Num&lt;&gt;"",Scheduled_Monthly_Payment,"")</f>
        <v>26333.835431927764</v>
      </c>
      <c r="E448" s="34">
        <f>IF(AND(Pay_Num&lt;&gt;"",Sched_Pay+Scheduled_Extra_Payments&lt;Beg_Bal),Scheduled_Extra_Payments,IF(AND(Pay_Num&lt;&gt;"",Beg_Bal-Sched_Pay&gt;0),Beg_Bal-Sched_Pay,IF(Pay_Num&lt;&gt;"",0,"")))</f>
        <v>0</v>
      </c>
      <c r="F448" s="33">
        <f>IF(AND(Pay_Num&lt;&gt;"",Sched_Pay+Extra_Pay&lt;Beg_Bal),Sched_Pay+Extra_Pay,IF(Pay_Num&lt;&gt;"",Beg_Bal,""))</f>
        <v>0</v>
      </c>
      <c r="G448" s="33">
        <f>IF(Pay_Num&lt;&gt;"",Total_Pay-Int,"")</f>
        <v>0</v>
      </c>
      <c r="H448" s="33">
        <f>IF(Pay_Num&lt;&gt;"",Beg_Bal*Interest_Rate/Num_Pmt_Per_Year,"")</f>
        <v>0</v>
      </c>
      <c r="I448" s="33">
        <f>IF(AND(Pay_Num&lt;&gt;"",Sched_Pay+Extra_Pay&lt;Beg_Bal),Beg_Bal-Princ,IF(Pay_Num&lt;&gt;"",0,""))</f>
        <v>0</v>
      </c>
      <c r="J448" s="33">
        <f>SUM($H$18:$H448)</f>
        <v>264024.10073253291</v>
      </c>
    </row>
    <row r="449" spans="1:10" x14ac:dyDescent="0.3">
      <c r="A449" s="36">
        <f>IF(Values_Entered,A448+1,"")</f>
        <v>432</v>
      </c>
      <c r="B449" s="35">
        <f>IF(Pay_Num&lt;&gt;"",DATE(YEAR(Loan_Start),MONTH(Loan_Start)+(Pay_Num)*12/Num_Pmt_Per_Year,DAY(Loan_Start)),"")</f>
        <v>58532</v>
      </c>
      <c r="C449" s="33">
        <f>IF(Pay_Num&lt;&gt;"",I448,"")</f>
        <v>0</v>
      </c>
      <c r="D449" s="33">
        <f>IF(Pay_Num&lt;&gt;"",Scheduled_Monthly_Payment,"")</f>
        <v>26333.835431927764</v>
      </c>
      <c r="E449" s="34">
        <f>IF(AND(Pay_Num&lt;&gt;"",Sched_Pay+Scheduled_Extra_Payments&lt;Beg_Bal),Scheduled_Extra_Payments,IF(AND(Pay_Num&lt;&gt;"",Beg_Bal-Sched_Pay&gt;0),Beg_Bal-Sched_Pay,IF(Pay_Num&lt;&gt;"",0,"")))</f>
        <v>0</v>
      </c>
      <c r="F449" s="33">
        <f>IF(AND(Pay_Num&lt;&gt;"",Sched_Pay+Extra_Pay&lt;Beg_Bal),Sched_Pay+Extra_Pay,IF(Pay_Num&lt;&gt;"",Beg_Bal,""))</f>
        <v>0</v>
      </c>
      <c r="G449" s="33">
        <f>IF(Pay_Num&lt;&gt;"",Total_Pay-Int,"")</f>
        <v>0</v>
      </c>
      <c r="H449" s="33">
        <f>IF(Pay_Num&lt;&gt;"",Beg_Bal*Interest_Rate/Num_Pmt_Per_Year,"")</f>
        <v>0</v>
      </c>
      <c r="I449" s="33">
        <f>IF(AND(Pay_Num&lt;&gt;"",Sched_Pay+Extra_Pay&lt;Beg_Bal),Beg_Bal-Princ,IF(Pay_Num&lt;&gt;"",0,""))</f>
        <v>0</v>
      </c>
      <c r="J449" s="33">
        <f>SUM($H$18:$H449)</f>
        <v>264024.10073253291</v>
      </c>
    </row>
    <row r="450" spans="1:10" x14ac:dyDescent="0.3">
      <c r="A450" s="36">
        <f>IF(Values_Entered,A449+1,"")</f>
        <v>433</v>
      </c>
      <c r="B450" s="35">
        <f>IF(Pay_Num&lt;&gt;"",DATE(YEAR(Loan_Start),MONTH(Loan_Start)+(Pay_Num)*12/Num_Pmt_Per_Year,DAY(Loan_Start)),"")</f>
        <v>58562</v>
      </c>
      <c r="C450" s="33">
        <f>IF(Pay_Num&lt;&gt;"",I449,"")</f>
        <v>0</v>
      </c>
      <c r="D450" s="33">
        <f>IF(Pay_Num&lt;&gt;"",Scheduled_Monthly_Payment,"")</f>
        <v>26333.835431927764</v>
      </c>
      <c r="E450" s="34">
        <f>IF(AND(Pay_Num&lt;&gt;"",Sched_Pay+Scheduled_Extra_Payments&lt;Beg_Bal),Scheduled_Extra_Payments,IF(AND(Pay_Num&lt;&gt;"",Beg_Bal-Sched_Pay&gt;0),Beg_Bal-Sched_Pay,IF(Pay_Num&lt;&gt;"",0,"")))</f>
        <v>0</v>
      </c>
      <c r="F450" s="33">
        <f>IF(AND(Pay_Num&lt;&gt;"",Sched_Pay+Extra_Pay&lt;Beg_Bal),Sched_Pay+Extra_Pay,IF(Pay_Num&lt;&gt;"",Beg_Bal,""))</f>
        <v>0</v>
      </c>
      <c r="G450" s="33">
        <f>IF(Pay_Num&lt;&gt;"",Total_Pay-Int,"")</f>
        <v>0</v>
      </c>
      <c r="H450" s="33">
        <f>IF(Pay_Num&lt;&gt;"",Beg_Bal*Interest_Rate/Num_Pmt_Per_Year,"")</f>
        <v>0</v>
      </c>
      <c r="I450" s="33">
        <f>IF(AND(Pay_Num&lt;&gt;"",Sched_Pay+Extra_Pay&lt;Beg_Bal),Beg_Bal-Princ,IF(Pay_Num&lt;&gt;"",0,""))</f>
        <v>0</v>
      </c>
      <c r="J450" s="33">
        <f>SUM($H$18:$H450)</f>
        <v>264024.10073253291</v>
      </c>
    </row>
    <row r="451" spans="1:10" x14ac:dyDescent="0.3">
      <c r="A451" s="36">
        <f>IF(Values_Entered,A450+1,"")</f>
        <v>434</v>
      </c>
      <c r="B451" s="35">
        <f>IF(Pay_Num&lt;&gt;"",DATE(YEAR(Loan_Start),MONTH(Loan_Start)+(Pay_Num)*12/Num_Pmt_Per_Year,DAY(Loan_Start)),"")</f>
        <v>58593</v>
      </c>
      <c r="C451" s="33">
        <f>IF(Pay_Num&lt;&gt;"",I450,"")</f>
        <v>0</v>
      </c>
      <c r="D451" s="33">
        <f>IF(Pay_Num&lt;&gt;"",Scheduled_Monthly_Payment,"")</f>
        <v>26333.835431927764</v>
      </c>
      <c r="E451" s="34">
        <f>IF(AND(Pay_Num&lt;&gt;"",Sched_Pay+Scheduled_Extra_Payments&lt;Beg_Bal),Scheduled_Extra_Payments,IF(AND(Pay_Num&lt;&gt;"",Beg_Bal-Sched_Pay&gt;0),Beg_Bal-Sched_Pay,IF(Pay_Num&lt;&gt;"",0,"")))</f>
        <v>0</v>
      </c>
      <c r="F451" s="33">
        <f>IF(AND(Pay_Num&lt;&gt;"",Sched_Pay+Extra_Pay&lt;Beg_Bal),Sched_Pay+Extra_Pay,IF(Pay_Num&lt;&gt;"",Beg_Bal,""))</f>
        <v>0</v>
      </c>
      <c r="G451" s="33">
        <f>IF(Pay_Num&lt;&gt;"",Total_Pay-Int,"")</f>
        <v>0</v>
      </c>
      <c r="H451" s="33">
        <f>IF(Pay_Num&lt;&gt;"",Beg_Bal*Interest_Rate/Num_Pmt_Per_Year,"")</f>
        <v>0</v>
      </c>
      <c r="I451" s="33">
        <f>IF(AND(Pay_Num&lt;&gt;"",Sched_Pay+Extra_Pay&lt;Beg_Bal),Beg_Bal-Princ,IF(Pay_Num&lt;&gt;"",0,""))</f>
        <v>0</v>
      </c>
      <c r="J451" s="33">
        <f>SUM($H$18:$H451)</f>
        <v>264024.10073253291</v>
      </c>
    </row>
    <row r="452" spans="1:10" x14ac:dyDescent="0.3">
      <c r="A452" s="36">
        <f>IF(Values_Entered,A451+1,"")</f>
        <v>435</v>
      </c>
      <c r="B452" s="35">
        <f>IF(Pay_Num&lt;&gt;"",DATE(YEAR(Loan_Start),MONTH(Loan_Start)+(Pay_Num)*12/Num_Pmt_Per_Year,DAY(Loan_Start)),"")</f>
        <v>58623</v>
      </c>
      <c r="C452" s="33">
        <f>IF(Pay_Num&lt;&gt;"",I451,"")</f>
        <v>0</v>
      </c>
      <c r="D452" s="33">
        <f>IF(Pay_Num&lt;&gt;"",Scheduled_Monthly_Payment,"")</f>
        <v>26333.835431927764</v>
      </c>
      <c r="E452" s="34">
        <f>IF(AND(Pay_Num&lt;&gt;"",Sched_Pay+Scheduled_Extra_Payments&lt;Beg_Bal),Scheduled_Extra_Payments,IF(AND(Pay_Num&lt;&gt;"",Beg_Bal-Sched_Pay&gt;0),Beg_Bal-Sched_Pay,IF(Pay_Num&lt;&gt;"",0,"")))</f>
        <v>0</v>
      </c>
      <c r="F452" s="33">
        <f>IF(AND(Pay_Num&lt;&gt;"",Sched_Pay+Extra_Pay&lt;Beg_Bal),Sched_Pay+Extra_Pay,IF(Pay_Num&lt;&gt;"",Beg_Bal,""))</f>
        <v>0</v>
      </c>
      <c r="G452" s="33">
        <f>IF(Pay_Num&lt;&gt;"",Total_Pay-Int,"")</f>
        <v>0</v>
      </c>
      <c r="H452" s="33">
        <f>IF(Pay_Num&lt;&gt;"",Beg_Bal*Interest_Rate/Num_Pmt_Per_Year,"")</f>
        <v>0</v>
      </c>
      <c r="I452" s="33">
        <f>IF(AND(Pay_Num&lt;&gt;"",Sched_Pay+Extra_Pay&lt;Beg_Bal),Beg_Bal-Princ,IF(Pay_Num&lt;&gt;"",0,""))</f>
        <v>0</v>
      </c>
      <c r="J452" s="33">
        <f>SUM($H$18:$H452)</f>
        <v>264024.10073253291</v>
      </c>
    </row>
    <row r="453" spans="1:10" x14ac:dyDescent="0.3">
      <c r="A453" s="36">
        <f>IF(Values_Entered,A452+1,"")</f>
        <v>436</v>
      </c>
      <c r="B453" s="35">
        <f>IF(Pay_Num&lt;&gt;"",DATE(YEAR(Loan_Start),MONTH(Loan_Start)+(Pay_Num)*12/Num_Pmt_Per_Year,DAY(Loan_Start)),"")</f>
        <v>58654</v>
      </c>
      <c r="C453" s="33">
        <f>IF(Pay_Num&lt;&gt;"",I452,"")</f>
        <v>0</v>
      </c>
      <c r="D453" s="33">
        <f>IF(Pay_Num&lt;&gt;"",Scheduled_Monthly_Payment,"")</f>
        <v>26333.835431927764</v>
      </c>
      <c r="E453" s="34">
        <f>IF(AND(Pay_Num&lt;&gt;"",Sched_Pay+Scheduled_Extra_Payments&lt;Beg_Bal),Scheduled_Extra_Payments,IF(AND(Pay_Num&lt;&gt;"",Beg_Bal-Sched_Pay&gt;0),Beg_Bal-Sched_Pay,IF(Pay_Num&lt;&gt;"",0,"")))</f>
        <v>0</v>
      </c>
      <c r="F453" s="33">
        <f>IF(AND(Pay_Num&lt;&gt;"",Sched_Pay+Extra_Pay&lt;Beg_Bal),Sched_Pay+Extra_Pay,IF(Pay_Num&lt;&gt;"",Beg_Bal,""))</f>
        <v>0</v>
      </c>
      <c r="G453" s="33">
        <f>IF(Pay_Num&lt;&gt;"",Total_Pay-Int,"")</f>
        <v>0</v>
      </c>
      <c r="H453" s="33">
        <f>IF(Pay_Num&lt;&gt;"",Beg_Bal*Interest_Rate/Num_Pmt_Per_Year,"")</f>
        <v>0</v>
      </c>
      <c r="I453" s="33">
        <f>IF(AND(Pay_Num&lt;&gt;"",Sched_Pay+Extra_Pay&lt;Beg_Bal),Beg_Bal-Princ,IF(Pay_Num&lt;&gt;"",0,""))</f>
        <v>0</v>
      </c>
      <c r="J453" s="33">
        <f>SUM($H$18:$H453)</f>
        <v>264024.10073253291</v>
      </c>
    </row>
    <row r="454" spans="1:10" x14ac:dyDescent="0.3">
      <c r="A454" s="36">
        <f>IF(Values_Entered,A453+1,"")</f>
        <v>437</v>
      </c>
      <c r="B454" s="35">
        <f>IF(Pay_Num&lt;&gt;"",DATE(YEAR(Loan_Start),MONTH(Loan_Start)+(Pay_Num)*12/Num_Pmt_Per_Year,DAY(Loan_Start)),"")</f>
        <v>58685</v>
      </c>
      <c r="C454" s="33">
        <f>IF(Pay_Num&lt;&gt;"",I453,"")</f>
        <v>0</v>
      </c>
      <c r="D454" s="33">
        <f>IF(Pay_Num&lt;&gt;"",Scheduled_Monthly_Payment,"")</f>
        <v>26333.835431927764</v>
      </c>
      <c r="E454" s="34">
        <f>IF(AND(Pay_Num&lt;&gt;"",Sched_Pay+Scheduled_Extra_Payments&lt;Beg_Bal),Scheduled_Extra_Payments,IF(AND(Pay_Num&lt;&gt;"",Beg_Bal-Sched_Pay&gt;0),Beg_Bal-Sched_Pay,IF(Pay_Num&lt;&gt;"",0,"")))</f>
        <v>0</v>
      </c>
      <c r="F454" s="33">
        <f>IF(AND(Pay_Num&lt;&gt;"",Sched_Pay+Extra_Pay&lt;Beg_Bal),Sched_Pay+Extra_Pay,IF(Pay_Num&lt;&gt;"",Beg_Bal,""))</f>
        <v>0</v>
      </c>
      <c r="G454" s="33">
        <f>IF(Pay_Num&lt;&gt;"",Total_Pay-Int,"")</f>
        <v>0</v>
      </c>
      <c r="H454" s="33">
        <f>IF(Pay_Num&lt;&gt;"",Beg_Bal*Interest_Rate/Num_Pmt_Per_Year,"")</f>
        <v>0</v>
      </c>
      <c r="I454" s="33">
        <f>IF(AND(Pay_Num&lt;&gt;"",Sched_Pay+Extra_Pay&lt;Beg_Bal),Beg_Bal-Princ,IF(Pay_Num&lt;&gt;"",0,""))</f>
        <v>0</v>
      </c>
      <c r="J454" s="33">
        <f>SUM($H$18:$H454)</f>
        <v>264024.10073253291</v>
      </c>
    </row>
    <row r="455" spans="1:10" x14ac:dyDescent="0.3">
      <c r="A455" s="36">
        <f>IF(Values_Entered,A454+1,"")</f>
        <v>438</v>
      </c>
      <c r="B455" s="35">
        <f>IF(Pay_Num&lt;&gt;"",DATE(YEAR(Loan_Start),MONTH(Loan_Start)+(Pay_Num)*12/Num_Pmt_Per_Year,DAY(Loan_Start)),"")</f>
        <v>58715</v>
      </c>
      <c r="C455" s="33">
        <f>IF(Pay_Num&lt;&gt;"",I454,"")</f>
        <v>0</v>
      </c>
      <c r="D455" s="33">
        <f>IF(Pay_Num&lt;&gt;"",Scheduled_Monthly_Payment,"")</f>
        <v>26333.835431927764</v>
      </c>
      <c r="E455" s="34">
        <f>IF(AND(Pay_Num&lt;&gt;"",Sched_Pay+Scheduled_Extra_Payments&lt;Beg_Bal),Scheduled_Extra_Payments,IF(AND(Pay_Num&lt;&gt;"",Beg_Bal-Sched_Pay&gt;0),Beg_Bal-Sched_Pay,IF(Pay_Num&lt;&gt;"",0,"")))</f>
        <v>0</v>
      </c>
      <c r="F455" s="33">
        <f>IF(AND(Pay_Num&lt;&gt;"",Sched_Pay+Extra_Pay&lt;Beg_Bal),Sched_Pay+Extra_Pay,IF(Pay_Num&lt;&gt;"",Beg_Bal,""))</f>
        <v>0</v>
      </c>
      <c r="G455" s="33">
        <f>IF(Pay_Num&lt;&gt;"",Total_Pay-Int,"")</f>
        <v>0</v>
      </c>
      <c r="H455" s="33">
        <f>IF(Pay_Num&lt;&gt;"",Beg_Bal*Interest_Rate/Num_Pmt_Per_Year,"")</f>
        <v>0</v>
      </c>
      <c r="I455" s="33">
        <f>IF(AND(Pay_Num&lt;&gt;"",Sched_Pay+Extra_Pay&lt;Beg_Bal),Beg_Bal-Princ,IF(Pay_Num&lt;&gt;"",0,""))</f>
        <v>0</v>
      </c>
      <c r="J455" s="33">
        <f>SUM($H$18:$H455)</f>
        <v>264024.10073253291</v>
      </c>
    </row>
    <row r="456" spans="1:10" x14ac:dyDescent="0.3">
      <c r="A456" s="36">
        <f>IF(Values_Entered,A455+1,"")</f>
        <v>439</v>
      </c>
      <c r="B456" s="35">
        <f>IF(Pay_Num&lt;&gt;"",DATE(YEAR(Loan_Start),MONTH(Loan_Start)+(Pay_Num)*12/Num_Pmt_Per_Year,DAY(Loan_Start)),"")</f>
        <v>58746</v>
      </c>
      <c r="C456" s="33">
        <f>IF(Pay_Num&lt;&gt;"",I455,"")</f>
        <v>0</v>
      </c>
      <c r="D456" s="33">
        <f>IF(Pay_Num&lt;&gt;"",Scheduled_Monthly_Payment,"")</f>
        <v>26333.835431927764</v>
      </c>
      <c r="E456" s="34">
        <f>IF(AND(Pay_Num&lt;&gt;"",Sched_Pay+Scheduled_Extra_Payments&lt;Beg_Bal),Scheduled_Extra_Payments,IF(AND(Pay_Num&lt;&gt;"",Beg_Bal-Sched_Pay&gt;0),Beg_Bal-Sched_Pay,IF(Pay_Num&lt;&gt;"",0,"")))</f>
        <v>0</v>
      </c>
      <c r="F456" s="33">
        <f>IF(AND(Pay_Num&lt;&gt;"",Sched_Pay+Extra_Pay&lt;Beg_Bal),Sched_Pay+Extra_Pay,IF(Pay_Num&lt;&gt;"",Beg_Bal,""))</f>
        <v>0</v>
      </c>
      <c r="G456" s="33">
        <f>IF(Pay_Num&lt;&gt;"",Total_Pay-Int,"")</f>
        <v>0</v>
      </c>
      <c r="H456" s="33">
        <f>IF(Pay_Num&lt;&gt;"",Beg_Bal*Interest_Rate/Num_Pmt_Per_Year,"")</f>
        <v>0</v>
      </c>
      <c r="I456" s="33">
        <f>IF(AND(Pay_Num&lt;&gt;"",Sched_Pay+Extra_Pay&lt;Beg_Bal),Beg_Bal-Princ,IF(Pay_Num&lt;&gt;"",0,""))</f>
        <v>0</v>
      </c>
      <c r="J456" s="33">
        <f>SUM($H$18:$H456)</f>
        <v>264024.10073253291</v>
      </c>
    </row>
    <row r="457" spans="1:10" x14ac:dyDescent="0.3">
      <c r="A457" s="36">
        <f>IF(Values_Entered,A456+1,"")</f>
        <v>440</v>
      </c>
      <c r="B457" s="35">
        <f>IF(Pay_Num&lt;&gt;"",DATE(YEAR(Loan_Start),MONTH(Loan_Start)+(Pay_Num)*12/Num_Pmt_Per_Year,DAY(Loan_Start)),"")</f>
        <v>58776</v>
      </c>
      <c r="C457" s="33">
        <f>IF(Pay_Num&lt;&gt;"",I456,"")</f>
        <v>0</v>
      </c>
      <c r="D457" s="33">
        <f>IF(Pay_Num&lt;&gt;"",Scheduled_Monthly_Payment,"")</f>
        <v>26333.835431927764</v>
      </c>
      <c r="E457" s="34">
        <f>IF(AND(Pay_Num&lt;&gt;"",Sched_Pay+Scheduled_Extra_Payments&lt;Beg_Bal),Scheduled_Extra_Payments,IF(AND(Pay_Num&lt;&gt;"",Beg_Bal-Sched_Pay&gt;0),Beg_Bal-Sched_Pay,IF(Pay_Num&lt;&gt;"",0,"")))</f>
        <v>0</v>
      </c>
      <c r="F457" s="33">
        <f>IF(AND(Pay_Num&lt;&gt;"",Sched_Pay+Extra_Pay&lt;Beg_Bal),Sched_Pay+Extra_Pay,IF(Pay_Num&lt;&gt;"",Beg_Bal,""))</f>
        <v>0</v>
      </c>
      <c r="G457" s="33">
        <f>IF(Pay_Num&lt;&gt;"",Total_Pay-Int,"")</f>
        <v>0</v>
      </c>
      <c r="H457" s="33">
        <f>IF(Pay_Num&lt;&gt;"",Beg_Bal*Interest_Rate/Num_Pmt_Per_Year,"")</f>
        <v>0</v>
      </c>
      <c r="I457" s="33">
        <f>IF(AND(Pay_Num&lt;&gt;"",Sched_Pay+Extra_Pay&lt;Beg_Bal),Beg_Bal-Princ,IF(Pay_Num&lt;&gt;"",0,""))</f>
        <v>0</v>
      </c>
      <c r="J457" s="33">
        <f>SUM($H$18:$H457)</f>
        <v>264024.10073253291</v>
      </c>
    </row>
    <row r="458" spans="1:10" x14ac:dyDescent="0.3">
      <c r="A458" s="36">
        <f>IF(Values_Entered,A457+1,"")</f>
        <v>441</v>
      </c>
      <c r="B458" s="35">
        <f>IF(Pay_Num&lt;&gt;"",DATE(YEAR(Loan_Start),MONTH(Loan_Start)+(Pay_Num)*12/Num_Pmt_Per_Year,DAY(Loan_Start)),"")</f>
        <v>58807</v>
      </c>
      <c r="C458" s="33">
        <f>IF(Pay_Num&lt;&gt;"",I457,"")</f>
        <v>0</v>
      </c>
      <c r="D458" s="33">
        <f>IF(Pay_Num&lt;&gt;"",Scheduled_Monthly_Payment,"")</f>
        <v>26333.835431927764</v>
      </c>
      <c r="E458" s="34">
        <f>IF(AND(Pay_Num&lt;&gt;"",Sched_Pay+Scheduled_Extra_Payments&lt;Beg_Bal),Scheduled_Extra_Payments,IF(AND(Pay_Num&lt;&gt;"",Beg_Bal-Sched_Pay&gt;0),Beg_Bal-Sched_Pay,IF(Pay_Num&lt;&gt;"",0,"")))</f>
        <v>0</v>
      </c>
      <c r="F458" s="33">
        <f>IF(AND(Pay_Num&lt;&gt;"",Sched_Pay+Extra_Pay&lt;Beg_Bal),Sched_Pay+Extra_Pay,IF(Pay_Num&lt;&gt;"",Beg_Bal,""))</f>
        <v>0</v>
      </c>
      <c r="G458" s="33">
        <f>IF(Pay_Num&lt;&gt;"",Total_Pay-Int,"")</f>
        <v>0</v>
      </c>
      <c r="H458" s="33">
        <f>IF(Pay_Num&lt;&gt;"",Beg_Bal*Interest_Rate/Num_Pmt_Per_Year,"")</f>
        <v>0</v>
      </c>
      <c r="I458" s="33">
        <f>IF(AND(Pay_Num&lt;&gt;"",Sched_Pay+Extra_Pay&lt;Beg_Bal),Beg_Bal-Princ,IF(Pay_Num&lt;&gt;"",0,""))</f>
        <v>0</v>
      </c>
      <c r="J458" s="33">
        <f>SUM($H$18:$H458)</f>
        <v>264024.10073253291</v>
      </c>
    </row>
    <row r="459" spans="1:10" x14ac:dyDescent="0.3">
      <c r="A459" s="36">
        <f>IF(Values_Entered,A458+1,"")</f>
        <v>442</v>
      </c>
      <c r="B459" s="35">
        <f>IF(Pay_Num&lt;&gt;"",DATE(YEAR(Loan_Start),MONTH(Loan_Start)+(Pay_Num)*12/Num_Pmt_Per_Year,DAY(Loan_Start)),"")</f>
        <v>58838</v>
      </c>
      <c r="C459" s="33">
        <f>IF(Pay_Num&lt;&gt;"",I458,"")</f>
        <v>0</v>
      </c>
      <c r="D459" s="33">
        <f>IF(Pay_Num&lt;&gt;"",Scheduled_Monthly_Payment,"")</f>
        <v>26333.835431927764</v>
      </c>
      <c r="E459" s="34">
        <f>IF(AND(Pay_Num&lt;&gt;"",Sched_Pay+Scheduled_Extra_Payments&lt;Beg_Bal),Scheduled_Extra_Payments,IF(AND(Pay_Num&lt;&gt;"",Beg_Bal-Sched_Pay&gt;0),Beg_Bal-Sched_Pay,IF(Pay_Num&lt;&gt;"",0,"")))</f>
        <v>0</v>
      </c>
      <c r="F459" s="33">
        <f>IF(AND(Pay_Num&lt;&gt;"",Sched_Pay+Extra_Pay&lt;Beg_Bal),Sched_Pay+Extra_Pay,IF(Pay_Num&lt;&gt;"",Beg_Bal,""))</f>
        <v>0</v>
      </c>
      <c r="G459" s="33">
        <f>IF(Pay_Num&lt;&gt;"",Total_Pay-Int,"")</f>
        <v>0</v>
      </c>
      <c r="H459" s="33">
        <f>IF(Pay_Num&lt;&gt;"",Beg_Bal*Interest_Rate/Num_Pmt_Per_Year,"")</f>
        <v>0</v>
      </c>
      <c r="I459" s="33">
        <f>IF(AND(Pay_Num&lt;&gt;"",Sched_Pay+Extra_Pay&lt;Beg_Bal),Beg_Bal-Princ,IF(Pay_Num&lt;&gt;"",0,""))</f>
        <v>0</v>
      </c>
      <c r="J459" s="33">
        <f>SUM($H$18:$H459)</f>
        <v>264024.10073253291</v>
      </c>
    </row>
    <row r="460" spans="1:10" x14ac:dyDescent="0.3">
      <c r="A460" s="36">
        <f>IF(Values_Entered,A459+1,"")</f>
        <v>443</v>
      </c>
      <c r="B460" s="35">
        <f>IF(Pay_Num&lt;&gt;"",DATE(YEAR(Loan_Start),MONTH(Loan_Start)+(Pay_Num)*12/Num_Pmt_Per_Year,DAY(Loan_Start)),"")</f>
        <v>58866</v>
      </c>
      <c r="C460" s="33">
        <f>IF(Pay_Num&lt;&gt;"",I459,"")</f>
        <v>0</v>
      </c>
      <c r="D460" s="33">
        <f>IF(Pay_Num&lt;&gt;"",Scheduled_Monthly_Payment,"")</f>
        <v>26333.835431927764</v>
      </c>
      <c r="E460" s="34">
        <f>IF(AND(Pay_Num&lt;&gt;"",Sched_Pay+Scheduled_Extra_Payments&lt;Beg_Bal),Scheduled_Extra_Payments,IF(AND(Pay_Num&lt;&gt;"",Beg_Bal-Sched_Pay&gt;0),Beg_Bal-Sched_Pay,IF(Pay_Num&lt;&gt;"",0,"")))</f>
        <v>0</v>
      </c>
      <c r="F460" s="33">
        <f>IF(AND(Pay_Num&lt;&gt;"",Sched_Pay+Extra_Pay&lt;Beg_Bal),Sched_Pay+Extra_Pay,IF(Pay_Num&lt;&gt;"",Beg_Bal,""))</f>
        <v>0</v>
      </c>
      <c r="G460" s="33">
        <f>IF(Pay_Num&lt;&gt;"",Total_Pay-Int,"")</f>
        <v>0</v>
      </c>
      <c r="H460" s="33">
        <f>IF(Pay_Num&lt;&gt;"",Beg_Bal*Interest_Rate/Num_Pmt_Per_Year,"")</f>
        <v>0</v>
      </c>
      <c r="I460" s="33">
        <f>IF(AND(Pay_Num&lt;&gt;"",Sched_Pay+Extra_Pay&lt;Beg_Bal),Beg_Bal-Princ,IF(Pay_Num&lt;&gt;"",0,""))</f>
        <v>0</v>
      </c>
      <c r="J460" s="33">
        <f>SUM($H$18:$H460)</f>
        <v>264024.10073253291</v>
      </c>
    </row>
    <row r="461" spans="1:10" x14ac:dyDescent="0.3">
      <c r="A461" s="36">
        <f>IF(Values_Entered,A460+1,"")</f>
        <v>444</v>
      </c>
      <c r="B461" s="35">
        <f>IF(Pay_Num&lt;&gt;"",DATE(YEAR(Loan_Start),MONTH(Loan_Start)+(Pay_Num)*12/Num_Pmt_Per_Year,DAY(Loan_Start)),"")</f>
        <v>58897</v>
      </c>
      <c r="C461" s="33">
        <f>IF(Pay_Num&lt;&gt;"",I460,"")</f>
        <v>0</v>
      </c>
      <c r="D461" s="33">
        <f>IF(Pay_Num&lt;&gt;"",Scheduled_Monthly_Payment,"")</f>
        <v>26333.835431927764</v>
      </c>
      <c r="E461" s="34">
        <f>IF(AND(Pay_Num&lt;&gt;"",Sched_Pay+Scheduled_Extra_Payments&lt;Beg_Bal),Scheduled_Extra_Payments,IF(AND(Pay_Num&lt;&gt;"",Beg_Bal-Sched_Pay&gt;0),Beg_Bal-Sched_Pay,IF(Pay_Num&lt;&gt;"",0,"")))</f>
        <v>0</v>
      </c>
      <c r="F461" s="33">
        <f>IF(AND(Pay_Num&lt;&gt;"",Sched_Pay+Extra_Pay&lt;Beg_Bal),Sched_Pay+Extra_Pay,IF(Pay_Num&lt;&gt;"",Beg_Bal,""))</f>
        <v>0</v>
      </c>
      <c r="G461" s="33">
        <f>IF(Pay_Num&lt;&gt;"",Total_Pay-Int,"")</f>
        <v>0</v>
      </c>
      <c r="H461" s="33">
        <f>IF(Pay_Num&lt;&gt;"",Beg_Bal*Interest_Rate/Num_Pmt_Per_Year,"")</f>
        <v>0</v>
      </c>
      <c r="I461" s="33">
        <f>IF(AND(Pay_Num&lt;&gt;"",Sched_Pay+Extra_Pay&lt;Beg_Bal),Beg_Bal-Princ,IF(Pay_Num&lt;&gt;"",0,""))</f>
        <v>0</v>
      </c>
      <c r="J461" s="33">
        <f>SUM($H$18:$H461)</f>
        <v>264024.10073253291</v>
      </c>
    </row>
    <row r="462" spans="1:10" x14ac:dyDescent="0.3">
      <c r="A462" s="36">
        <f>IF(Values_Entered,A461+1,"")</f>
        <v>445</v>
      </c>
      <c r="B462" s="35">
        <f>IF(Pay_Num&lt;&gt;"",DATE(YEAR(Loan_Start),MONTH(Loan_Start)+(Pay_Num)*12/Num_Pmt_Per_Year,DAY(Loan_Start)),"")</f>
        <v>58927</v>
      </c>
      <c r="C462" s="33">
        <f>IF(Pay_Num&lt;&gt;"",I461,"")</f>
        <v>0</v>
      </c>
      <c r="D462" s="33">
        <f>IF(Pay_Num&lt;&gt;"",Scheduled_Monthly_Payment,"")</f>
        <v>26333.835431927764</v>
      </c>
      <c r="E462" s="34">
        <f>IF(AND(Pay_Num&lt;&gt;"",Sched_Pay+Scheduled_Extra_Payments&lt;Beg_Bal),Scheduled_Extra_Payments,IF(AND(Pay_Num&lt;&gt;"",Beg_Bal-Sched_Pay&gt;0),Beg_Bal-Sched_Pay,IF(Pay_Num&lt;&gt;"",0,"")))</f>
        <v>0</v>
      </c>
      <c r="F462" s="33">
        <f>IF(AND(Pay_Num&lt;&gt;"",Sched_Pay+Extra_Pay&lt;Beg_Bal),Sched_Pay+Extra_Pay,IF(Pay_Num&lt;&gt;"",Beg_Bal,""))</f>
        <v>0</v>
      </c>
      <c r="G462" s="33">
        <f>IF(Pay_Num&lt;&gt;"",Total_Pay-Int,"")</f>
        <v>0</v>
      </c>
      <c r="H462" s="33">
        <f>IF(Pay_Num&lt;&gt;"",Beg_Bal*Interest_Rate/Num_Pmt_Per_Year,"")</f>
        <v>0</v>
      </c>
      <c r="I462" s="33">
        <f>IF(AND(Pay_Num&lt;&gt;"",Sched_Pay+Extra_Pay&lt;Beg_Bal),Beg_Bal-Princ,IF(Pay_Num&lt;&gt;"",0,""))</f>
        <v>0</v>
      </c>
      <c r="J462" s="33">
        <f>SUM($H$18:$H462)</f>
        <v>264024.10073253291</v>
      </c>
    </row>
    <row r="463" spans="1:10" x14ac:dyDescent="0.3">
      <c r="A463" s="36">
        <f>IF(Values_Entered,A462+1,"")</f>
        <v>446</v>
      </c>
      <c r="B463" s="35">
        <f>IF(Pay_Num&lt;&gt;"",DATE(YEAR(Loan_Start),MONTH(Loan_Start)+(Pay_Num)*12/Num_Pmt_Per_Year,DAY(Loan_Start)),"")</f>
        <v>58958</v>
      </c>
      <c r="C463" s="33">
        <f>IF(Pay_Num&lt;&gt;"",I462,"")</f>
        <v>0</v>
      </c>
      <c r="D463" s="33">
        <f>IF(Pay_Num&lt;&gt;"",Scheduled_Monthly_Payment,"")</f>
        <v>26333.835431927764</v>
      </c>
      <c r="E463" s="34">
        <f>IF(AND(Pay_Num&lt;&gt;"",Sched_Pay+Scheduled_Extra_Payments&lt;Beg_Bal),Scheduled_Extra_Payments,IF(AND(Pay_Num&lt;&gt;"",Beg_Bal-Sched_Pay&gt;0),Beg_Bal-Sched_Pay,IF(Pay_Num&lt;&gt;"",0,"")))</f>
        <v>0</v>
      </c>
      <c r="F463" s="33">
        <f>IF(AND(Pay_Num&lt;&gt;"",Sched_Pay+Extra_Pay&lt;Beg_Bal),Sched_Pay+Extra_Pay,IF(Pay_Num&lt;&gt;"",Beg_Bal,""))</f>
        <v>0</v>
      </c>
      <c r="G463" s="33">
        <f>IF(Pay_Num&lt;&gt;"",Total_Pay-Int,"")</f>
        <v>0</v>
      </c>
      <c r="H463" s="33">
        <f>IF(Pay_Num&lt;&gt;"",Beg_Bal*Interest_Rate/Num_Pmt_Per_Year,"")</f>
        <v>0</v>
      </c>
      <c r="I463" s="33">
        <f>IF(AND(Pay_Num&lt;&gt;"",Sched_Pay+Extra_Pay&lt;Beg_Bal),Beg_Bal-Princ,IF(Pay_Num&lt;&gt;"",0,""))</f>
        <v>0</v>
      </c>
      <c r="J463" s="33">
        <f>SUM($H$18:$H463)</f>
        <v>264024.10073253291</v>
      </c>
    </row>
    <row r="464" spans="1:10" x14ac:dyDescent="0.3">
      <c r="A464" s="36">
        <f>IF(Values_Entered,A463+1,"")</f>
        <v>447</v>
      </c>
      <c r="B464" s="35">
        <f>IF(Pay_Num&lt;&gt;"",DATE(YEAR(Loan_Start),MONTH(Loan_Start)+(Pay_Num)*12/Num_Pmt_Per_Year,DAY(Loan_Start)),"")</f>
        <v>58988</v>
      </c>
      <c r="C464" s="33">
        <f>IF(Pay_Num&lt;&gt;"",I463,"")</f>
        <v>0</v>
      </c>
      <c r="D464" s="33">
        <f>IF(Pay_Num&lt;&gt;"",Scheduled_Monthly_Payment,"")</f>
        <v>26333.835431927764</v>
      </c>
      <c r="E464" s="34">
        <f>IF(AND(Pay_Num&lt;&gt;"",Sched_Pay+Scheduled_Extra_Payments&lt;Beg_Bal),Scheduled_Extra_Payments,IF(AND(Pay_Num&lt;&gt;"",Beg_Bal-Sched_Pay&gt;0),Beg_Bal-Sched_Pay,IF(Pay_Num&lt;&gt;"",0,"")))</f>
        <v>0</v>
      </c>
      <c r="F464" s="33">
        <f>IF(AND(Pay_Num&lt;&gt;"",Sched_Pay+Extra_Pay&lt;Beg_Bal),Sched_Pay+Extra_Pay,IF(Pay_Num&lt;&gt;"",Beg_Bal,""))</f>
        <v>0</v>
      </c>
      <c r="G464" s="33">
        <f>IF(Pay_Num&lt;&gt;"",Total_Pay-Int,"")</f>
        <v>0</v>
      </c>
      <c r="H464" s="33">
        <f>IF(Pay_Num&lt;&gt;"",Beg_Bal*Interest_Rate/Num_Pmt_Per_Year,"")</f>
        <v>0</v>
      </c>
      <c r="I464" s="33">
        <f>IF(AND(Pay_Num&lt;&gt;"",Sched_Pay+Extra_Pay&lt;Beg_Bal),Beg_Bal-Princ,IF(Pay_Num&lt;&gt;"",0,""))</f>
        <v>0</v>
      </c>
      <c r="J464" s="33">
        <f>SUM($H$18:$H464)</f>
        <v>264024.10073253291</v>
      </c>
    </row>
    <row r="465" spans="1:10" x14ac:dyDescent="0.3">
      <c r="A465" s="36">
        <f>IF(Values_Entered,A464+1,"")</f>
        <v>448</v>
      </c>
      <c r="B465" s="35">
        <f>IF(Pay_Num&lt;&gt;"",DATE(YEAR(Loan_Start),MONTH(Loan_Start)+(Pay_Num)*12/Num_Pmt_Per_Year,DAY(Loan_Start)),"")</f>
        <v>59019</v>
      </c>
      <c r="C465" s="33">
        <f>IF(Pay_Num&lt;&gt;"",I464,"")</f>
        <v>0</v>
      </c>
      <c r="D465" s="33">
        <f>IF(Pay_Num&lt;&gt;"",Scheduled_Monthly_Payment,"")</f>
        <v>26333.835431927764</v>
      </c>
      <c r="E465" s="34">
        <f>IF(AND(Pay_Num&lt;&gt;"",Sched_Pay+Scheduled_Extra_Payments&lt;Beg_Bal),Scheduled_Extra_Payments,IF(AND(Pay_Num&lt;&gt;"",Beg_Bal-Sched_Pay&gt;0),Beg_Bal-Sched_Pay,IF(Pay_Num&lt;&gt;"",0,"")))</f>
        <v>0</v>
      </c>
      <c r="F465" s="33">
        <f>IF(AND(Pay_Num&lt;&gt;"",Sched_Pay+Extra_Pay&lt;Beg_Bal),Sched_Pay+Extra_Pay,IF(Pay_Num&lt;&gt;"",Beg_Bal,""))</f>
        <v>0</v>
      </c>
      <c r="G465" s="33">
        <f>IF(Pay_Num&lt;&gt;"",Total_Pay-Int,"")</f>
        <v>0</v>
      </c>
      <c r="H465" s="33">
        <f>IF(Pay_Num&lt;&gt;"",Beg_Bal*Interest_Rate/Num_Pmt_Per_Year,"")</f>
        <v>0</v>
      </c>
      <c r="I465" s="33">
        <f>IF(AND(Pay_Num&lt;&gt;"",Sched_Pay+Extra_Pay&lt;Beg_Bal),Beg_Bal-Princ,IF(Pay_Num&lt;&gt;"",0,""))</f>
        <v>0</v>
      </c>
      <c r="J465" s="33">
        <f>SUM($H$18:$H465)</f>
        <v>264024.10073253291</v>
      </c>
    </row>
    <row r="466" spans="1:10" x14ac:dyDescent="0.3">
      <c r="A466" s="36">
        <f>IF(Values_Entered,A465+1,"")</f>
        <v>449</v>
      </c>
      <c r="B466" s="35">
        <f>IF(Pay_Num&lt;&gt;"",DATE(YEAR(Loan_Start),MONTH(Loan_Start)+(Pay_Num)*12/Num_Pmt_Per_Year,DAY(Loan_Start)),"")</f>
        <v>59050</v>
      </c>
      <c r="C466" s="33">
        <f>IF(Pay_Num&lt;&gt;"",I465,"")</f>
        <v>0</v>
      </c>
      <c r="D466" s="33">
        <f>IF(Pay_Num&lt;&gt;"",Scheduled_Monthly_Payment,"")</f>
        <v>26333.835431927764</v>
      </c>
      <c r="E466" s="34">
        <f>IF(AND(Pay_Num&lt;&gt;"",Sched_Pay+Scheduled_Extra_Payments&lt;Beg_Bal),Scheduled_Extra_Payments,IF(AND(Pay_Num&lt;&gt;"",Beg_Bal-Sched_Pay&gt;0),Beg_Bal-Sched_Pay,IF(Pay_Num&lt;&gt;"",0,"")))</f>
        <v>0</v>
      </c>
      <c r="F466" s="33">
        <f>IF(AND(Pay_Num&lt;&gt;"",Sched_Pay+Extra_Pay&lt;Beg_Bal),Sched_Pay+Extra_Pay,IF(Pay_Num&lt;&gt;"",Beg_Bal,""))</f>
        <v>0</v>
      </c>
      <c r="G466" s="33">
        <f>IF(Pay_Num&lt;&gt;"",Total_Pay-Int,"")</f>
        <v>0</v>
      </c>
      <c r="H466" s="33">
        <f>IF(Pay_Num&lt;&gt;"",Beg_Bal*Interest_Rate/Num_Pmt_Per_Year,"")</f>
        <v>0</v>
      </c>
      <c r="I466" s="33">
        <f>IF(AND(Pay_Num&lt;&gt;"",Sched_Pay+Extra_Pay&lt;Beg_Bal),Beg_Bal-Princ,IF(Pay_Num&lt;&gt;"",0,""))</f>
        <v>0</v>
      </c>
      <c r="J466" s="33">
        <f>SUM($H$18:$H466)</f>
        <v>264024.10073253291</v>
      </c>
    </row>
    <row r="467" spans="1:10" x14ac:dyDescent="0.3">
      <c r="A467" s="36">
        <f>IF(Values_Entered,A466+1,"")</f>
        <v>450</v>
      </c>
      <c r="B467" s="35">
        <f>IF(Pay_Num&lt;&gt;"",DATE(YEAR(Loan_Start),MONTH(Loan_Start)+(Pay_Num)*12/Num_Pmt_Per_Year,DAY(Loan_Start)),"")</f>
        <v>59080</v>
      </c>
      <c r="C467" s="33">
        <f>IF(Pay_Num&lt;&gt;"",I466,"")</f>
        <v>0</v>
      </c>
      <c r="D467" s="33">
        <f>IF(Pay_Num&lt;&gt;"",Scheduled_Monthly_Payment,"")</f>
        <v>26333.835431927764</v>
      </c>
      <c r="E467" s="34">
        <f>IF(AND(Pay_Num&lt;&gt;"",Sched_Pay+Scheduled_Extra_Payments&lt;Beg_Bal),Scheduled_Extra_Payments,IF(AND(Pay_Num&lt;&gt;"",Beg_Bal-Sched_Pay&gt;0),Beg_Bal-Sched_Pay,IF(Pay_Num&lt;&gt;"",0,"")))</f>
        <v>0</v>
      </c>
      <c r="F467" s="33">
        <f>IF(AND(Pay_Num&lt;&gt;"",Sched_Pay+Extra_Pay&lt;Beg_Bal),Sched_Pay+Extra_Pay,IF(Pay_Num&lt;&gt;"",Beg_Bal,""))</f>
        <v>0</v>
      </c>
      <c r="G467" s="33">
        <f>IF(Pay_Num&lt;&gt;"",Total_Pay-Int,"")</f>
        <v>0</v>
      </c>
      <c r="H467" s="33">
        <f>IF(Pay_Num&lt;&gt;"",Beg_Bal*Interest_Rate/Num_Pmt_Per_Year,"")</f>
        <v>0</v>
      </c>
      <c r="I467" s="33">
        <f>IF(AND(Pay_Num&lt;&gt;"",Sched_Pay+Extra_Pay&lt;Beg_Bal),Beg_Bal-Princ,IF(Pay_Num&lt;&gt;"",0,""))</f>
        <v>0</v>
      </c>
      <c r="J467" s="33">
        <f>SUM($H$18:$H467)</f>
        <v>264024.10073253291</v>
      </c>
    </row>
    <row r="468" spans="1:10" x14ac:dyDescent="0.3">
      <c r="A468" s="36">
        <f>IF(Values_Entered,A467+1,"")</f>
        <v>451</v>
      </c>
      <c r="B468" s="35">
        <f>IF(Pay_Num&lt;&gt;"",DATE(YEAR(Loan_Start),MONTH(Loan_Start)+(Pay_Num)*12/Num_Pmt_Per_Year,DAY(Loan_Start)),"")</f>
        <v>59111</v>
      </c>
      <c r="C468" s="33">
        <f>IF(Pay_Num&lt;&gt;"",I467,"")</f>
        <v>0</v>
      </c>
      <c r="D468" s="33">
        <f>IF(Pay_Num&lt;&gt;"",Scheduled_Monthly_Payment,"")</f>
        <v>26333.835431927764</v>
      </c>
      <c r="E468" s="34">
        <f>IF(AND(Pay_Num&lt;&gt;"",Sched_Pay+Scheduled_Extra_Payments&lt;Beg_Bal),Scheduled_Extra_Payments,IF(AND(Pay_Num&lt;&gt;"",Beg_Bal-Sched_Pay&gt;0),Beg_Bal-Sched_Pay,IF(Pay_Num&lt;&gt;"",0,"")))</f>
        <v>0</v>
      </c>
      <c r="F468" s="33">
        <f>IF(AND(Pay_Num&lt;&gt;"",Sched_Pay+Extra_Pay&lt;Beg_Bal),Sched_Pay+Extra_Pay,IF(Pay_Num&lt;&gt;"",Beg_Bal,""))</f>
        <v>0</v>
      </c>
      <c r="G468" s="33">
        <f>IF(Pay_Num&lt;&gt;"",Total_Pay-Int,"")</f>
        <v>0</v>
      </c>
      <c r="H468" s="33">
        <f>IF(Pay_Num&lt;&gt;"",Beg_Bal*Interest_Rate/Num_Pmt_Per_Year,"")</f>
        <v>0</v>
      </c>
      <c r="I468" s="33">
        <f>IF(AND(Pay_Num&lt;&gt;"",Sched_Pay+Extra_Pay&lt;Beg_Bal),Beg_Bal-Princ,IF(Pay_Num&lt;&gt;"",0,""))</f>
        <v>0</v>
      </c>
      <c r="J468" s="33">
        <f>SUM($H$18:$H468)</f>
        <v>264024.10073253291</v>
      </c>
    </row>
    <row r="469" spans="1:10" x14ac:dyDescent="0.3">
      <c r="A469" s="36">
        <f>IF(Values_Entered,A468+1,"")</f>
        <v>452</v>
      </c>
      <c r="B469" s="35">
        <f>IF(Pay_Num&lt;&gt;"",DATE(YEAR(Loan_Start),MONTH(Loan_Start)+(Pay_Num)*12/Num_Pmt_Per_Year,DAY(Loan_Start)),"")</f>
        <v>59141</v>
      </c>
      <c r="C469" s="33">
        <f>IF(Pay_Num&lt;&gt;"",I468,"")</f>
        <v>0</v>
      </c>
      <c r="D469" s="33">
        <f>IF(Pay_Num&lt;&gt;"",Scheduled_Monthly_Payment,"")</f>
        <v>26333.835431927764</v>
      </c>
      <c r="E469" s="34">
        <f>IF(AND(Pay_Num&lt;&gt;"",Sched_Pay+Scheduled_Extra_Payments&lt;Beg_Bal),Scheduled_Extra_Payments,IF(AND(Pay_Num&lt;&gt;"",Beg_Bal-Sched_Pay&gt;0),Beg_Bal-Sched_Pay,IF(Pay_Num&lt;&gt;"",0,"")))</f>
        <v>0</v>
      </c>
      <c r="F469" s="33">
        <f>IF(AND(Pay_Num&lt;&gt;"",Sched_Pay+Extra_Pay&lt;Beg_Bal),Sched_Pay+Extra_Pay,IF(Pay_Num&lt;&gt;"",Beg_Bal,""))</f>
        <v>0</v>
      </c>
      <c r="G469" s="33">
        <f>IF(Pay_Num&lt;&gt;"",Total_Pay-Int,"")</f>
        <v>0</v>
      </c>
      <c r="H469" s="33">
        <f>IF(Pay_Num&lt;&gt;"",Beg_Bal*Interest_Rate/Num_Pmt_Per_Year,"")</f>
        <v>0</v>
      </c>
      <c r="I469" s="33">
        <f>IF(AND(Pay_Num&lt;&gt;"",Sched_Pay+Extra_Pay&lt;Beg_Bal),Beg_Bal-Princ,IF(Pay_Num&lt;&gt;"",0,""))</f>
        <v>0</v>
      </c>
      <c r="J469" s="33">
        <f>SUM($H$18:$H469)</f>
        <v>264024.10073253291</v>
      </c>
    </row>
    <row r="470" spans="1:10" x14ac:dyDescent="0.3">
      <c r="A470" s="36">
        <f>IF(Values_Entered,A469+1,"")</f>
        <v>453</v>
      </c>
      <c r="B470" s="35">
        <f>IF(Pay_Num&lt;&gt;"",DATE(YEAR(Loan_Start),MONTH(Loan_Start)+(Pay_Num)*12/Num_Pmt_Per_Year,DAY(Loan_Start)),"")</f>
        <v>59172</v>
      </c>
      <c r="C470" s="33">
        <f>IF(Pay_Num&lt;&gt;"",I469,"")</f>
        <v>0</v>
      </c>
      <c r="D470" s="33">
        <f>IF(Pay_Num&lt;&gt;"",Scheduled_Monthly_Payment,"")</f>
        <v>26333.835431927764</v>
      </c>
      <c r="E470" s="34">
        <f>IF(AND(Pay_Num&lt;&gt;"",Sched_Pay+Scheduled_Extra_Payments&lt;Beg_Bal),Scheduled_Extra_Payments,IF(AND(Pay_Num&lt;&gt;"",Beg_Bal-Sched_Pay&gt;0),Beg_Bal-Sched_Pay,IF(Pay_Num&lt;&gt;"",0,"")))</f>
        <v>0</v>
      </c>
      <c r="F470" s="33">
        <f>IF(AND(Pay_Num&lt;&gt;"",Sched_Pay+Extra_Pay&lt;Beg_Bal),Sched_Pay+Extra_Pay,IF(Pay_Num&lt;&gt;"",Beg_Bal,""))</f>
        <v>0</v>
      </c>
      <c r="G470" s="33">
        <f>IF(Pay_Num&lt;&gt;"",Total_Pay-Int,"")</f>
        <v>0</v>
      </c>
      <c r="H470" s="33">
        <f>IF(Pay_Num&lt;&gt;"",Beg_Bal*Interest_Rate/Num_Pmt_Per_Year,"")</f>
        <v>0</v>
      </c>
      <c r="I470" s="33">
        <f>IF(AND(Pay_Num&lt;&gt;"",Sched_Pay+Extra_Pay&lt;Beg_Bal),Beg_Bal-Princ,IF(Pay_Num&lt;&gt;"",0,""))</f>
        <v>0</v>
      </c>
      <c r="J470" s="33">
        <f>SUM($H$18:$H470)</f>
        <v>264024.10073253291</v>
      </c>
    </row>
    <row r="471" spans="1:10" x14ac:dyDescent="0.3">
      <c r="A471" s="36">
        <f>IF(Values_Entered,A470+1,"")</f>
        <v>454</v>
      </c>
      <c r="B471" s="35">
        <f>IF(Pay_Num&lt;&gt;"",DATE(YEAR(Loan_Start),MONTH(Loan_Start)+(Pay_Num)*12/Num_Pmt_Per_Year,DAY(Loan_Start)),"")</f>
        <v>59203</v>
      </c>
      <c r="C471" s="33">
        <f>IF(Pay_Num&lt;&gt;"",I470,"")</f>
        <v>0</v>
      </c>
      <c r="D471" s="33">
        <f>IF(Pay_Num&lt;&gt;"",Scheduled_Monthly_Payment,"")</f>
        <v>26333.835431927764</v>
      </c>
      <c r="E471" s="34">
        <f>IF(AND(Pay_Num&lt;&gt;"",Sched_Pay+Scheduled_Extra_Payments&lt;Beg_Bal),Scheduled_Extra_Payments,IF(AND(Pay_Num&lt;&gt;"",Beg_Bal-Sched_Pay&gt;0),Beg_Bal-Sched_Pay,IF(Pay_Num&lt;&gt;"",0,"")))</f>
        <v>0</v>
      </c>
      <c r="F471" s="33">
        <f>IF(AND(Pay_Num&lt;&gt;"",Sched_Pay+Extra_Pay&lt;Beg_Bal),Sched_Pay+Extra_Pay,IF(Pay_Num&lt;&gt;"",Beg_Bal,""))</f>
        <v>0</v>
      </c>
      <c r="G471" s="33">
        <f>IF(Pay_Num&lt;&gt;"",Total_Pay-Int,"")</f>
        <v>0</v>
      </c>
      <c r="H471" s="33">
        <f>IF(Pay_Num&lt;&gt;"",Beg_Bal*Interest_Rate/Num_Pmt_Per_Year,"")</f>
        <v>0</v>
      </c>
      <c r="I471" s="33">
        <f>IF(AND(Pay_Num&lt;&gt;"",Sched_Pay+Extra_Pay&lt;Beg_Bal),Beg_Bal-Princ,IF(Pay_Num&lt;&gt;"",0,""))</f>
        <v>0</v>
      </c>
      <c r="J471" s="33">
        <f>SUM($H$18:$H471)</f>
        <v>264024.10073253291</v>
      </c>
    </row>
    <row r="472" spans="1:10" x14ac:dyDescent="0.3">
      <c r="A472" s="36">
        <f>IF(Values_Entered,A471+1,"")</f>
        <v>455</v>
      </c>
      <c r="B472" s="35">
        <f>IF(Pay_Num&lt;&gt;"",DATE(YEAR(Loan_Start),MONTH(Loan_Start)+(Pay_Num)*12/Num_Pmt_Per_Year,DAY(Loan_Start)),"")</f>
        <v>59231</v>
      </c>
      <c r="C472" s="33">
        <f>IF(Pay_Num&lt;&gt;"",I471,"")</f>
        <v>0</v>
      </c>
      <c r="D472" s="33">
        <f>IF(Pay_Num&lt;&gt;"",Scheduled_Monthly_Payment,"")</f>
        <v>26333.835431927764</v>
      </c>
      <c r="E472" s="34">
        <f>IF(AND(Pay_Num&lt;&gt;"",Sched_Pay+Scheduled_Extra_Payments&lt;Beg_Bal),Scheduled_Extra_Payments,IF(AND(Pay_Num&lt;&gt;"",Beg_Bal-Sched_Pay&gt;0),Beg_Bal-Sched_Pay,IF(Pay_Num&lt;&gt;"",0,"")))</f>
        <v>0</v>
      </c>
      <c r="F472" s="33">
        <f>IF(AND(Pay_Num&lt;&gt;"",Sched_Pay+Extra_Pay&lt;Beg_Bal),Sched_Pay+Extra_Pay,IF(Pay_Num&lt;&gt;"",Beg_Bal,""))</f>
        <v>0</v>
      </c>
      <c r="G472" s="33">
        <f>IF(Pay_Num&lt;&gt;"",Total_Pay-Int,"")</f>
        <v>0</v>
      </c>
      <c r="H472" s="33">
        <f>IF(Pay_Num&lt;&gt;"",Beg_Bal*Interest_Rate/Num_Pmt_Per_Year,"")</f>
        <v>0</v>
      </c>
      <c r="I472" s="33">
        <f>IF(AND(Pay_Num&lt;&gt;"",Sched_Pay+Extra_Pay&lt;Beg_Bal),Beg_Bal-Princ,IF(Pay_Num&lt;&gt;"",0,""))</f>
        <v>0</v>
      </c>
      <c r="J472" s="33">
        <f>SUM($H$18:$H472)</f>
        <v>264024.10073253291</v>
      </c>
    </row>
    <row r="473" spans="1:10" x14ac:dyDescent="0.3">
      <c r="A473" s="36">
        <f>IF(Values_Entered,A472+1,"")</f>
        <v>456</v>
      </c>
      <c r="B473" s="35">
        <f>IF(Pay_Num&lt;&gt;"",DATE(YEAR(Loan_Start),MONTH(Loan_Start)+(Pay_Num)*12/Num_Pmt_Per_Year,DAY(Loan_Start)),"")</f>
        <v>59262</v>
      </c>
      <c r="C473" s="33">
        <f>IF(Pay_Num&lt;&gt;"",I472,"")</f>
        <v>0</v>
      </c>
      <c r="D473" s="33">
        <f>IF(Pay_Num&lt;&gt;"",Scheduled_Monthly_Payment,"")</f>
        <v>26333.835431927764</v>
      </c>
      <c r="E473" s="34">
        <f>IF(AND(Pay_Num&lt;&gt;"",Sched_Pay+Scheduled_Extra_Payments&lt;Beg_Bal),Scheduled_Extra_Payments,IF(AND(Pay_Num&lt;&gt;"",Beg_Bal-Sched_Pay&gt;0),Beg_Bal-Sched_Pay,IF(Pay_Num&lt;&gt;"",0,"")))</f>
        <v>0</v>
      </c>
      <c r="F473" s="33">
        <f>IF(AND(Pay_Num&lt;&gt;"",Sched_Pay+Extra_Pay&lt;Beg_Bal),Sched_Pay+Extra_Pay,IF(Pay_Num&lt;&gt;"",Beg_Bal,""))</f>
        <v>0</v>
      </c>
      <c r="G473" s="33">
        <f>IF(Pay_Num&lt;&gt;"",Total_Pay-Int,"")</f>
        <v>0</v>
      </c>
      <c r="H473" s="33">
        <f>IF(Pay_Num&lt;&gt;"",Beg_Bal*Interest_Rate/Num_Pmt_Per_Year,"")</f>
        <v>0</v>
      </c>
      <c r="I473" s="33">
        <f>IF(AND(Pay_Num&lt;&gt;"",Sched_Pay+Extra_Pay&lt;Beg_Bal),Beg_Bal-Princ,IF(Pay_Num&lt;&gt;"",0,""))</f>
        <v>0</v>
      </c>
      <c r="J473" s="33">
        <f>SUM($H$18:$H473)</f>
        <v>264024.10073253291</v>
      </c>
    </row>
    <row r="474" spans="1:10" x14ac:dyDescent="0.3">
      <c r="A474" s="36">
        <f>IF(Values_Entered,A473+1,"")</f>
        <v>457</v>
      </c>
      <c r="B474" s="35">
        <f>IF(Pay_Num&lt;&gt;"",DATE(YEAR(Loan_Start),MONTH(Loan_Start)+(Pay_Num)*12/Num_Pmt_Per_Year,DAY(Loan_Start)),"")</f>
        <v>59292</v>
      </c>
      <c r="C474" s="33">
        <f>IF(Pay_Num&lt;&gt;"",I473,"")</f>
        <v>0</v>
      </c>
      <c r="D474" s="33">
        <f>IF(Pay_Num&lt;&gt;"",Scheduled_Monthly_Payment,"")</f>
        <v>26333.835431927764</v>
      </c>
      <c r="E474" s="34">
        <f>IF(AND(Pay_Num&lt;&gt;"",Sched_Pay+Scheduled_Extra_Payments&lt;Beg_Bal),Scheduled_Extra_Payments,IF(AND(Pay_Num&lt;&gt;"",Beg_Bal-Sched_Pay&gt;0),Beg_Bal-Sched_Pay,IF(Pay_Num&lt;&gt;"",0,"")))</f>
        <v>0</v>
      </c>
      <c r="F474" s="33">
        <f>IF(AND(Pay_Num&lt;&gt;"",Sched_Pay+Extra_Pay&lt;Beg_Bal),Sched_Pay+Extra_Pay,IF(Pay_Num&lt;&gt;"",Beg_Bal,""))</f>
        <v>0</v>
      </c>
      <c r="G474" s="33">
        <f>IF(Pay_Num&lt;&gt;"",Total_Pay-Int,"")</f>
        <v>0</v>
      </c>
      <c r="H474" s="33">
        <f>IF(Pay_Num&lt;&gt;"",Beg_Bal*Interest_Rate/Num_Pmt_Per_Year,"")</f>
        <v>0</v>
      </c>
      <c r="I474" s="33">
        <f>IF(AND(Pay_Num&lt;&gt;"",Sched_Pay+Extra_Pay&lt;Beg_Bal),Beg_Bal-Princ,IF(Pay_Num&lt;&gt;"",0,""))</f>
        <v>0</v>
      </c>
      <c r="J474" s="33">
        <f>SUM($H$18:$H474)</f>
        <v>264024.10073253291</v>
      </c>
    </row>
    <row r="475" spans="1:10" x14ac:dyDescent="0.3">
      <c r="A475" s="36">
        <f>IF(Values_Entered,A474+1,"")</f>
        <v>458</v>
      </c>
      <c r="B475" s="35">
        <f>IF(Pay_Num&lt;&gt;"",DATE(YEAR(Loan_Start),MONTH(Loan_Start)+(Pay_Num)*12/Num_Pmt_Per_Year,DAY(Loan_Start)),"")</f>
        <v>59323</v>
      </c>
      <c r="C475" s="33">
        <f>IF(Pay_Num&lt;&gt;"",I474,"")</f>
        <v>0</v>
      </c>
      <c r="D475" s="33">
        <f>IF(Pay_Num&lt;&gt;"",Scheduled_Monthly_Payment,"")</f>
        <v>26333.835431927764</v>
      </c>
      <c r="E475" s="34">
        <f>IF(AND(Pay_Num&lt;&gt;"",Sched_Pay+Scheduled_Extra_Payments&lt;Beg_Bal),Scheduled_Extra_Payments,IF(AND(Pay_Num&lt;&gt;"",Beg_Bal-Sched_Pay&gt;0),Beg_Bal-Sched_Pay,IF(Pay_Num&lt;&gt;"",0,"")))</f>
        <v>0</v>
      </c>
      <c r="F475" s="33">
        <f>IF(AND(Pay_Num&lt;&gt;"",Sched_Pay+Extra_Pay&lt;Beg_Bal),Sched_Pay+Extra_Pay,IF(Pay_Num&lt;&gt;"",Beg_Bal,""))</f>
        <v>0</v>
      </c>
      <c r="G475" s="33">
        <f>IF(Pay_Num&lt;&gt;"",Total_Pay-Int,"")</f>
        <v>0</v>
      </c>
      <c r="H475" s="33">
        <f>IF(Pay_Num&lt;&gt;"",Beg_Bal*Interest_Rate/Num_Pmt_Per_Year,"")</f>
        <v>0</v>
      </c>
      <c r="I475" s="33">
        <f>IF(AND(Pay_Num&lt;&gt;"",Sched_Pay+Extra_Pay&lt;Beg_Bal),Beg_Bal-Princ,IF(Pay_Num&lt;&gt;"",0,""))</f>
        <v>0</v>
      </c>
      <c r="J475" s="33">
        <f>SUM($H$18:$H475)</f>
        <v>264024.10073253291</v>
      </c>
    </row>
    <row r="476" spans="1:10" x14ac:dyDescent="0.3">
      <c r="A476" s="36">
        <f>IF(Values_Entered,A475+1,"")</f>
        <v>459</v>
      </c>
      <c r="B476" s="35">
        <f>IF(Pay_Num&lt;&gt;"",DATE(YEAR(Loan_Start),MONTH(Loan_Start)+(Pay_Num)*12/Num_Pmt_Per_Year,DAY(Loan_Start)),"")</f>
        <v>59353</v>
      </c>
      <c r="C476" s="33">
        <f>IF(Pay_Num&lt;&gt;"",I475,"")</f>
        <v>0</v>
      </c>
      <c r="D476" s="33">
        <f>IF(Pay_Num&lt;&gt;"",Scheduled_Monthly_Payment,"")</f>
        <v>26333.835431927764</v>
      </c>
      <c r="E476" s="34">
        <f>IF(AND(Pay_Num&lt;&gt;"",Sched_Pay+Scheduled_Extra_Payments&lt;Beg_Bal),Scheduled_Extra_Payments,IF(AND(Pay_Num&lt;&gt;"",Beg_Bal-Sched_Pay&gt;0),Beg_Bal-Sched_Pay,IF(Pay_Num&lt;&gt;"",0,"")))</f>
        <v>0</v>
      </c>
      <c r="F476" s="33">
        <f>IF(AND(Pay_Num&lt;&gt;"",Sched_Pay+Extra_Pay&lt;Beg_Bal),Sched_Pay+Extra_Pay,IF(Pay_Num&lt;&gt;"",Beg_Bal,""))</f>
        <v>0</v>
      </c>
      <c r="G476" s="33">
        <f>IF(Pay_Num&lt;&gt;"",Total_Pay-Int,"")</f>
        <v>0</v>
      </c>
      <c r="H476" s="33">
        <f>IF(Pay_Num&lt;&gt;"",Beg_Bal*Interest_Rate/Num_Pmt_Per_Year,"")</f>
        <v>0</v>
      </c>
      <c r="I476" s="33">
        <f>IF(AND(Pay_Num&lt;&gt;"",Sched_Pay+Extra_Pay&lt;Beg_Bal),Beg_Bal-Princ,IF(Pay_Num&lt;&gt;"",0,""))</f>
        <v>0</v>
      </c>
      <c r="J476" s="33">
        <f>SUM($H$18:$H476)</f>
        <v>264024.10073253291</v>
      </c>
    </row>
    <row r="477" spans="1:10" x14ac:dyDescent="0.3">
      <c r="A477" s="36">
        <f>IF(Values_Entered,A476+1,"")</f>
        <v>460</v>
      </c>
      <c r="B477" s="35">
        <f>IF(Pay_Num&lt;&gt;"",DATE(YEAR(Loan_Start),MONTH(Loan_Start)+(Pay_Num)*12/Num_Pmt_Per_Year,DAY(Loan_Start)),"")</f>
        <v>59384</v>
      </c>
      <c r="C477" s="33">
        <f>IF(Pay_Num&lt;&gt;"",I476,"")</f>
        <v>0</v>
      </c>
      <c r="D477" s="33">
        <f>IF(Pay_Num&lt;&gt;"",Scheduled_Monthly_Payment,"")</f>
        <v>26333.835431927764</v>
      </c>
      <c r="E477" s="34">
        <f>IF(AND(Pay_Num&lt;&gt;"",Sched_Pay+Scheduled_Extra_Payments&lt;Beg_Bal),Scheduled_Extra_Payments,IF(AND(Pay_Num&lt;&gt;"",Beg_Bal-Sched_Pay&gt;0),Beg_Bal-Sched_Pay,IF(Pay_Num&lt;&gt;"",0,"")))</f>
        <v>0</v>
      </c>
      <c r="F477" s="33">
        <f>IF(AND(Pay_Num&lt;&gt;"",Sched_Pay+Extra_Pay&lt;Beg_Bal),Sched_Pay+Extra_Pay,IF(Pay_Num&lt;&gt;"",Beg_Bal,""))</f>
        <v>0</v>
      </c>
      <c r="G477" s="33">
        <f>IF(Pay_Num&lt;&gt;"",Total_Pay-Int,"")</f>
        <v>0</v>
      </c>
      <c r="H477" s="33">
        <f>IF(Pay_Num&lt;&gt;"",Beg_Bal*Interest_Rate/Num_Pmt_Per_Year,"")</f>
        <v>0</v>
      </c>
      <c r="I477" s="33">
        <f>IF(AND(Pay_Num&lt;&gt;"",Sched_Pay+Extra_Pay&lt;Beg_Bal),Beg_Bal-Princ,IF(Pay_Num&lt;&gt;"",0,""))</f>
        <v>0</v>
      </c>
      <c r="J477" s="33">
        <f>SUM($H$18:$H477)</f>
        <v>264024.10073253291</v>
      </c>
    </row>
    <row r="478" spans="1:10" x14ac:dyDescent="0.3">
      <c r="A478" s="36">
        <f>IF(Values_Entered,A477+1,"")</f>
        <v>461</v>
      </c>
      <c r="B478" s="35">
        <f>IF(Pay_Num&lt;&gt;"",DATE(YEAR(Loan_Start),MONTH(Loan_Start)+(Pay_Num)*12/Num_Pmt_Per_Year,DAY(Loan_Start)),"")</f>
        <v>59415</v>
      </c>
      <c r="C478" s="33">
        <f>IF(Pay_Num&lt;&gt;"",I477,"")</f>
        <v>0</v>
      </c>
      <c r="D478" s="33">
        <f>IF(Pay_Num&lt;&gt;"",Scheduled_Monthly_Payment,"")</f>
        <v>26333.835431927764</v>
      </c>
      <c r="E478" s="34">
        <f>IF(AND(Pay_Num&lt;&gt;"",Sched_Pay+Scheduled_Extra_Payments&lt;Beg_Bal),Scheduled_Extra_Payments,IF(AND(Pay_Num&lt;&gt;"",Beg_Bal-Sched_Pay&gt;0),Beg_Bal-Sched_Pay,IF(Pay_Num&lt;&gt;"",0,"")))</f>
        <v>0</v>
      </c>
      <c r="F478" s="33">
        <f>IF(AND(Pay_Num&lt;&gt;"",Sched_Pay+Extra_Pay&lt;Beg_Bal),Sched_Pay+Extra_Pay,IF(Pay_Num&lt;&gt;"",Beg_Bal,""))</f>
        <v>0</v>
      </c>
      <c r="G478" s="33">
        <f>IF(Pay_Num&lt;&gt;"",Total_Pay-Int,"")</f>
        <v>0</v>
      </c>
      <c r="H478" s="33">
        <f>IF(Pay_Num&lt;&gt;"",Beg_Bal*Interest_Rate/Num_Pmt_Per_Year,"")</f>
        <v>0</v>
      </c>
      <c r="I478" s="33">
        <f>IF(AND(Pay_Num&lt;&gt;"",Sched_Pay+Extra_Pay&lt;Beg_Bal),Beg_Bal-Princ,IF(Pay_Num&lt;&gt;"",0,""))</f>
        <v>0</v>
      </c>
      <c r="J478" s="33">
        <f>SUM($H$18:$H478)</f>
        <v>264024.10073253291</v>
      </c>
    </row>
    <row r="479" spans="1:10" x14ac:dyDescent="0.3">
      <c r="A479" s="36">
        <f>IF(Values_Entered,A478+1,"")</f>
        <v>462</v>
      </c>
      <c r="B479" s="35">
        <f>IF(Pay_Num&lt;&gt;"",DATE(YEAR(Loan_Start),MONTH(Loan_Start)+(Pay_Num)*12/Num_Pmt_Per_Year,DAY(Loan_Start)),"")</f>
        <v>59445</v>
      </c>
      <c r="C479" s="33">
        <f>IF(Pay_Num&lt;&gt;"",I478,"")</f>
        <v>0</v>
      </c>
      <c r="D479" s="33">
        <f>IF(Pay_Num&lt;&gt;"",Scheduled_Monthly_Payment,"")</f>
        <v>26333.835431927764</v>
      </c>
      <c r="E479" s="34">
        <f>IF(AND(Pay_Num&lt;&gt;"",Sched_Pay+Scheduled_Extra_Payments&lt;Beg_Bal),Scheduled_Extra_Payments,IF(AND(Pay_Num&lt;&gt;"",Beg_Bal-Sched_Pay&gt;0),Beg_Bal-Sched_Pay,IF(Pay_Num&lt;&gt;"",0,"")))</f>
        <v>0</v>
      </c>
      <c r="F479" s="33">
        <f>IF(AND(Pay_Num&lt;&gt;"",Sched_Pay+Extra_Pay&lt;Beg_Bal),Sched_Pay+Extra_Pay,IF(Pay_Num&lt;&gt;"",Beg_Bal,""))</f>
        <v>0</v>
      </c>
      <c r="G479" s="33">
        <f>IF(Pay_Num&lt;&gt;"",Total_Pay-Int,"")</f>
        <v>0</v>
      </c>
      <c r="H479" s="33">
        <f>IF(Pay_Num&lt;&gt;"",Beg_Bal*Interest_Rate/Num_Pmt_Per_Year,"")</f>
        <v>0</v>
      </c>
      <c r="I479" s="33">
        <f>IF(AND(Pay_Num&lt;&gt;"",Sched_Pay+Extra_Pay&lt;Beg_Bal),Beg_Bal-Princ,IF(Pay_Num&lt;&gt;"",0,""))</f>
        <v>0</v>
      </c>
      <c r="J479" s="33">
        <f>SUM($H$18:$H479)</f>
        <v>264024.10073253291</v>
      </c>
    </row>
    <row r="480" spans="1:10" x14ac:dyDescent="0.3">
      <c r="A480" s="36">
        <f>IF(Values_Entered,A479+1,"")</f>
        <v>463</v>
      </c>
      <c r="B480" s="35">
        <f>IF(Pay_Num&lt;&gt;"",DATE(YEAR(Loan_Start),MONTH(Loan_Start)+(Pay_Num)*12/Num_Pmt_Per_Year,DAY(Loan_Start)),"")</f>
        <v>59476</v>
      </c>
      <c r="C480" s="33">
        <f>IF(Pay_Num&lt;&gt;"",I479,"")</f>
        <v>0</v>
      </c>
      <c r="D480" s="33">
        <f>IF(Pay_Num&lt;&gt;"",Scheduled_Monthly_Payment,"")</f>
        <v>26333.835431927764</v>
      </c>
      <c r="E480" s="34">
        <f>IF(AND(Pay_Num&lt;&gt;"",Sched_Pay+Scheduled_Extra_Payments&lt;Beg_Bal),Scheduled_Extra_Payments,IF(AND(Pay_Num&lt;&gt;"",Beg_Bal-Sched_Pay&gt;0),Beg_Bal-Sched_Pay,IF(Pay_Num&lt;&gt;"",0,"")))</f>
        <v>0</v>
      </c>
      <c r="F480" s="33">
        <f>IF(AND(Pay_Num&lt;&gt;"",Sched_Pay+Extra_Pay&lt;Beg_Bal),Sched_Pay+Extra_Pay,IF(Pay_Num&lt;&gt;"",Beg_Bal,""))</f>
        <v>0</v>
      </c>
      <c r="G480" s="33">
        <f>IF(Pay_Num&lt;&gt;"",Total_Pay-Int,"")</f>
        <v>0</v>
      </c>
      <c r="H480" s="33">
        <f>IF(Pay_Num&lt;&gt;"",Beg_Bal*Interest_Rate/Num_Pmt_Per_Year,"")</f>
        <v>0</v>
      </c>
      <c r="I480" s="33">
        <f>IF(AND(Pay_Num&lt;&gt;"",Sched_Pay+Extra_Pay&lt;Beg_Bal),Beg_Bal-Princ,IF(Pay_Num&lt;&gt;"",0,""))</f>
        <v>0</v>
      </c>
      <c r="J480" s="33">
        <f>SUM($H$18:$H480)</f>
        <v>264024.10073253291</v>
      </c>
    </row>
    <row r="481" spans="1:10" x14ac:dyDescent="0.3">
      <c r="A481" s="36">
        <f>IF(Values_Entered,A480+1,"")</f>
        <v>464</v>
      </c>
      <c r="B481" s="35">
        <f>IF(Pay_Num&lt;&gt;"",DATE(YEAR(Loan_Start),MONTH(Loan_Start)+(Pay_Num)*12/Num_Pmt_Per_Year,DAY(Loan_Start)),"")</f>
        <v>59506</v>
      </c>
      <c r="C481" s="33">
        <f>IF(Pay_Num&lt;&gt;"",I480,"")</f>
        <v>0</v>
      </c>
      <c r="D481" s="33">
        <f>IF(Pay_Num&lt;&gt;"",Scheduled_Monthly_Payment,"")</f>
        <v>26333.835431927764</v>
      </c>
      <c r="E481" s="34">
        <f>IF(AND(Pay_Num&lt;&gt;"",Sched_Pay+Scheduled_Extra_Payments&lt;Beg_Bal),Scheduled_Extra_Payments,IF(AND(Pay_Num&lt;&gt;"",Beg_Bal-Sched_Pay&gt;0),Beg_Bal-Sched_Pay,IF(Pay_Num&lt;&gt;"",0,"")))</f>
        <v>0</v>
      </c>
      <c r="F481" s="33">
        <f>IF(AND(Pay_Num&lt;&gt;"",Sched_Pay+Extra_Pay&lt;Beg_Bal),Sched_Pay+Extra_Pay,IF(Pay_Num&lt;&gt;"",Beg_Bal,""))</f>
        <v>0</v>
      </c>
      <c r="G481" s="33">
        <f>IF(Pay_Num&lt;&gt;"",Total_Pay-Int,"")</f>
        <v>0</v>
      </c>
      <c r="H481" s="33">
        <f>IF(Pay_Num&lt;&gt;"",Beg_Bal*Interest_Rate/Num_Pmt_Per_Year,"")</f>
        <v>0</v>
      </c>
      <c r="I481" s="33">
        <f>IF(AND(Pay_Num&lt;&gt;"",Sched_Pay+Extra_Pay&lt;Beg_Bal),Beg_Bal-Princ,IF(Pay_Num&lt;&gt;"",0,""))</f>
        <v>0</v>
      </c>
      <c r="J481" s="33">
        <f>SUM($H$18:$H481)</f>
        <v>264024.10073253291</v>
      </c>
    </row>
    <row r="482" spans="1:10" x14ac:dyDescent="0.3">
      <c r="A482" s="36">
        <f>IF(Values_Entered,A481+1,"")</f>
        <v>465</v>
      </c>
      <c r="B482" s="35">
        <f>IF(Pay_Num&lt;&gt;"",DATE(YEAR(Loan_Start),MONTH(Loan_Start)+(Pay_Num)*12/Num_Pmt_Per_Year,DAY(Loan_Start)),"")</f>
        <v>59537</v>
      </c>
      <c r="C482" s="33">
        <f>IF(Pay_Num&lt;&gt;"",I481,"")</f>
        <v>0</v>
      </c>
      <c r="D482" s="33">
        <f>IF(Pay_Num&lt;&gt;"",Scheduled_Monthly_Payment,"")</f>
        <v>26333.835431927764</v>
      </c>
      <c r="E482" s="34">
        <f>IF(AND(Pay_Num&lt;&gt;"",Sched_Pay+Scheduled_Extra_Payments&lt;Beg_Bal),Scheduled_Extra_Payments,IF(AND(Pay_Num&lt;&gt;"",Beg_Bal-Sched_Pay&gt;0),Beg_Bal-Sched_Pay,IF(Pay_Num&lt;&gt;"",0,"")))</f>
        <v>0</v>
      </c>
      <c r="F482" s="33">
        <f>IF(AND(Pay_Num&lt;&gt;"",Sched_Pay+Extra_Pay&lt;Beg_Bal),Sched_Pay+Extra_Pay,IF(Pay_Num&lt;&gt;"",Beg_Bal,""))</f>
        <v>0</v>
      </c>
      <c r="G482" s="33">
        <f>IF(Pay_Num&lt;&gt;"",Total_Pay-Int,"")</f>
        <v>0</v>
      </c>
      <c r="H482" s="33">
        <f>IF(Pay_Num&lt;&gt;"",Beg_Bal*Interest_Rate/Num_Pmt_Per_Year,"")</f>
        <v>0</v>
      </c>
      <c r="I482" s="33">
        <f>IF(AND(Pay_Num&lt;&gt;"",Sched_Pay+Extra_Pay&lt;Beg_Bal),Beg_Bal-Princ,IF(Pay_Num&lt;&gt;"",0,""))</f>
        <v>0</v>
      </c>
      <c r="J482" s="33">
        <f>SUM($H$18:$H482)</f>
        <v>264024.10073253291</v>
      </c>
    </row>
    <row r="483" spans="1:10" x14ac:dyDescent="0.3">
      <c r="A483" s="36">
        <f>IF(Values_Entered,A482+1,"")</f>
        <v>466</v>
      </c>
      <c r="B483" s="35">
        <f>IF(Pay_Num&lt;&gt;"",DATE(YEAR(Loan_Start),MONTH(Loan_Start)+(Pay_Num)*12/Num_Pmt_Per_Year,DAY(Loan_Start)),"")</f>
        <v>59568</v>
      </c>
      <c r="C483" s="33">
        <f>IF(Pay_Num&lt;&gt;"",I482,"")</f>
        <v>0</v>
      </c>
      <c r="D483" s="33">
        <f>IF(Pay_Num&lt;&gt;"",Scheduled_Monthly_Payment,"")</f>
        <v>26333.835431927764</v>
      </c>
      <c r="E483" s="34">
        <f>IF(AND(Pay_Num&lt;&gt;"",Sched_Pay+Scheduled_Extra_Payments&lt;Beg_Bal),Scheduled_Extra_Payments,IF(AND(Pay_Num&lt;&gt;"",Beg_Bal-Sched_Pay&gt;0),Beg_Bal-Sched_Pay,IF(Pay_Num&lt;&gt;"",0,"")))</f>
        <v>0</v>
      </c>
      <c r="F483" s="33">
        <f>IF(AND(Pay_Num&lt;&gt;"",Sched_Pay+Extra_Pay&lt;Beg_Bal),Sched_Pay+Extra_Pay,IF(Pay_Num&lt;&gt;"",Beg_Bal,""))</f>
        <v>0</v>
      </c>
      <c r="G483" s="33">
        <f>IF(Pay_Num&lt;&gt;"",Total_Pay-Int,"")</f>
        <v>0</v>
      </c>
      <c r="H483" s="33">
        <f>IF(Pay_Num&lt;&gt;"",Beg_Bal*Interest_Rate/Num_Pmt_Per_Year,"")</f>
        <v>0</v>
      </c>
      <c r="I483" s="33">
        <f>IF(AND(Pay_Num&lt;&gt;"",Sched_Pay+Extra_Pay&lt;Beg_Bal),Beg_Bal-Princ,IF(Pay_Num&lt;&gt;"",0,""))</f>
        <v>0</v>
      </c>
      <c r="J483" s="33">
        <f>SUM($H$18:$H483)</f>
        <v>264024.10073253291</v>
      </c>
    </row>
    <row r="484" spans="1:10" x14ac:dyDescent="0.3">
      <c r="A484" s="36">
        <f>IF(Values_Entered,A483+1,"")</f>
        <v>467</v>
      </c>
      <c r="B484" s="35">
        <f>IF(Pay_Num&lt;&gt;"",DATE(YEAR(Loan_Start),MONTH(Loan_Start)+(Pay_Num)*12/Num_Pmt_Per_Year,DAY(Loan_Start)),"")</f>
        <v>59596</v>
      </c>
      <c r="C484" s="33">
        <f>IF(Pay_Num&lt;&gt;"",I483,"")</f>
        <v>0</v>
      </c>
      <c r="D484" s="33">
        <f>IF(Pay_Num&lt;&gt;"",Scheduled_Monthly_Payment,"")</f>
        <v>26333.835431927764</v>
      </c>
      <c r="E484" s="34">
        <f>IF(AND(Pay_Num&lt;&gt;"",Sched_Pay+Scheduled_Extra_Payments&lt;Beg_Bal),Scheduled_Extra_Payments,IF(AND(Pay_Num&lt;&gt;"",Beg_Bal-Sched_Pay&gt;0),Beg_Bal-Sched_Pay,IF(Pay_Num&lt;&gt;"",0,"")))</f>
        <v>0</v>
      </c>
      <c r="F484" s="33">
        <f>IF(AND(Pay_Num&lt;&gt;"",Sched_Pay+Extra_Pay&lt;Beg_Bal),Sched_Pay+Extra_Pay,IF(Pay_Num&lt;&gt;"",Beg_Bal,""))</f>
        <v>0</v>
      </c>
      <c r="G484" s="33">
        <f>IF(Pay_Num&lt;&gt;"",Total_Pay-Int,"")</f>
        <v>0</v>
      </c>
      <c r="H484" s="33">
        <f>IF(Pay_Num&lt;&gt;"",Beg_Bal*Interest_Rate/Num_Pmt_Per_Year,"")</f>
        <v>0</v>
      </c>
      <c r="I484" s="33">
        <f>IF(AND(Pay_Num&lt;&gt;"",Sched_Pay+Extra_Pay&lt;Beg_Bal),Beg_Bal-Princ,IF(Pay_Num&lt;&gt;"",0,""))</f>
        <v>0</v>
      </c>
      <c r="J484" s="33">
        <f>SUM($H$18:$H484)</f>
        <v>264024.10073253291</v>
      </c>
    </row>
    <row r="485" spans="1:10" x14ac:dyDescent="0.3">
      <c r="A485" s="36">
        <f>IF(Values_Entered,A484+1,"")</f>
        <v>468</v>
      </c>
      <c r="B485" s="35">
        <f>IF(Pay_Num&lt;&gt;"",DATE(YEAR(Loan_Start),MONTH(Loan_Start)+(Pay_Num)*12/Num_Pmt_Per_Year,DAY(Loan_Start)),"")</f>
        <v>59627</v>
      </c>
      <c r="C485" s="33">
        <f>IF(Pay_Num&lt;&gt;"",I484,"")</f>
        <v>0</v>
      </c>
      <c r="D485" s="33">
        <f>IF(Pay_Num&lt;&gt;"",Scheduled_Monthly_Payment,"")</f>
        <v>26333.835431927764</v>
      </c>
      <c r="E485" s="34">
        <f>IF(AND(Pay_Num&lt;&gt;"",Sched_Pay+Scheduled_Extra_Payments&lt;Beg_Bal),Scheduled_Extra_Payments,IF(AND(Pay_Num&lt;&gt;"",Beg_Bal-Sched_Pay&gt;0),Beg_Bal-Sched_Pay,IF(Pay_Num&lt;&gt;"",0,"")))</f>
        <v>0</v>
      </c>
      <c r="F485" s="33">
        <f>IF(AND(Pay_Num&lt;&gt;"",Sched_Pay+Extra_Pay&lt;Beg_Bal),Sched_Pay+Extra_Pay,IF(Pay_Num&lt;&gt;"",Beg_Bal,""))</f>
        <v>0</v>
      </c>
      <c r="G485" s="33">
        <f>IF(Pay_Num&lt;&gt;"",Total_Pay-Int,"")</f>
        <v>0</v>
      </c>
      <c r="H485" s="33">
        <f>IF(Pay_Num&lt;&gt;"",Beg_Bal*Interest_Rate/Num_Pmt_Per_Year,"")</f>
        <v>0</v>
      </c>
      <c r="I485" s="33">
        <f>IF(AND(Pay_Num&lt;&gt;"",Sched_Pay+Extra_Pay&lt;Beg_Bal),Beg_Bal-Princ,IF(Pay_Num&lt;&gt;"",0,""))</f>
        <v>0</v>
      </c>
      <c r="J485" s="33">
        <f>SUM($H$18:$H485)</f>
        <v>264024.10073253291</v>
      </c>
    </row>
    <row r="486" spans="1:10" x14ac:dyDescent="0.3">
      <c r="A486" s="36">
        <f>IF(Values_Entered,A485+1,"")</f>
        <v>469</v>
      </c>
      <c r="B486" s="35">
        <f>IF(Pay_Num&lt;&gt;"",DATE(YEAR(Loan_Start),MONTH(Loan_Start)+(Pay_Num)*12/Num_Pmt_Per_Year,DAY(Loan_Start)),"")</f>
        <v>59657</v>
      </c>
      <c r="C486" s="33">
        <f>IF(Pay_Num&lt;&gt;"",I485,"")</f>
        <v>0</v>
      </c>
      <c r="D486" s="33">
        <f>IF(Pay_Num&lt;&gt;"",Scheduled_Monthly_Payment,"")</f>
        <v>26333.835431927764</v>
      </c>
      <c r="E486" s="34">
        <f>IF(AND(Pay_Num&lt;&gt;"",Sched_Pay+Scheduled_Extra_Payments&lt;Beg_Bal),Scheduled_Extra_Payments,IF(AND(Pay_Num&lt;&gt;"",Beg_Bal-Sched_Pay&gt;0),Beg_Bal-Sched_Pay,IF(Pay_Num&lt;&gt;"",0,"")))</f>
        <v>0</v>
      </c>
      <c r="F486" s="33">
        <f>IF(AND(Pay_Num&lt;&gt;"",Sched_Pay+Extra_Pay&lt;Beg_Bal),Sched_Pay+Extra_Pay,IF(Pay_Num&lt;&gt;"",Beg_Bal,""))</f>
        <v>0</v>
      </c>
      <c r="G486" s="33">
        <f>IF(Pay_Num&lt;&gt;"",Total_Pay-Int,"")</f>
        <v>0</v>
      </c>
      <c r="H486" s="33">
        <f>IF(Pay_Num&lt;&gt;"",Beg_Bal*Interest_Rate/Num_Pmt_Per_Year,"")</f>
        <v>0</v>
      </c>
      <c r="I486" s="33">
        <f>IF(AND(Pay_Num&lt;&gt;"",Sched_Pay+Extra_Pay&lt;Beg_Bal),Beg_Bal-Princ,IF(Pay_Num&lt;&gt;"",0,""))</f>
        <v>0</v>
      </c>
      <c r="J486" s="33">
        <f>SUM($H$18:$H486)</f>
        <v>264024.10073253291</v>
      </c>
    </row>
    <row r="487" spans="1:10" x14ac:dyDescent="0.3">
      <c r="A487" s="36">
        <f>IF(Values_Entered,A486+1,"")</f>
        <v>470</v>
      </c>
      <c r="B487" s="35">
        <f>IF(Pay_Num&lt;&gt;"",DATE(YEAR(Loan_Start),MONTH(Loan_Start)+(Pay_Num)*12/Num_Pmt_Per_Year,DAY(Loan_Start)),"")</f>
        <v>59688</v>
      </c>
      <c r="C487" s="33">
        <f>IF(Pay_Num&lt;&gt;"",I486,"")</f>
        <v>0</v>
      </c>
      <c r="D487" s="33">
        <f>IF(Pay_Num&lt;&gt;"",Scheduled_Monthly_Payment,"")</f>
        <v>26333.835431927764</v>
      </c>
      <c r="E487" s="34">
        <f>IF(AND(Pay_Num&lt;&gt;"",Sched_Pay+Scheduled_Extra_Payments&lt;Beg_Bal),Scheduled_Extra_Payments,IF(AND(Pay_Num&lt;&gt;"",Beg_Bal-Sched_Pay&gt;0),Beg_Bal-Sched_Pay,IF(Pay_Num&lt;&gt;"",0,"")))</f>
        <v>0</v>
      </c>
      <c r="F487" s="33">
        <f>IF(AND(Pay_Num&lt;&gt;"",Sched_Pay+Extra_Pay&lt;Beg_Bal),Sched_Pay+Extra_Pay,IF(Pay_Num&lt;&gt;"",Beg_Bal,""))</f>
        <v>0</v>
      </c>
      <c r="G487" s="33">
        <f>IF(Pay_Num&lt;&gt;"",Total_Pay-Int,"")</f>
        <v>0</v>
      </c>
      <c r="H487" s="33">
        <f>IF(Pay_Num&lt;&gt;"",Beg_Bal*Interest_Rate/Num_Pmt_Per_Year,"")</f>
        <v>0</v>
      </c>
      <c r="I487" s="33">
        <f>IF(AND(Pay_Num&lt;&gt;"",Sched_Pay+Extra_Pay&lt;Beg_Bal),Beg_Bal-Princ,IF(Pay_Num&lt;&gt;"",0,""))</f>
        <v>0</v>
      </c>
      <c r="J487" s="33">
        <f>SUM($H$18:$H487)</f>
        <v>264024.10073253291</v>
      </c>
    </row>
    <row r="488" spans="1:10" x14ac:dyDescent="0.3">
      <c r="A488" s="36">
        <f>IF(Values_Entered,A487+1,"")</f>
        <v>471</v>
      </c>
      <c r="B488" s="35">
        <f>IF(Pay_Num&lt;&gt;"",DATE(YEAR(Loan_Start),MONTH(Loan_Start)+(Pay_Num)*12/Num_Pmt_Per_Year,DAY(Loan_Start)),"")</f>
        <v>59718</v>
      </c>
      <c r="C488" s="33">
        <f>IF(Pay_Num&lt;&gt;"",I487,"")</f>
        <v>0</v>
      </c>
      <c r="D488" s="33">
        <f>IF(Pay_Num&lt;&gt;"",Scheduled_Monthly_Payment,"")</f>
        <v>26333.835431927764</v>
      </c>
      <c r="E488" s="34">
        <f>IF(AND(Pay_Num&lt;&gt;"",Sched_Pay+Scheduled_Extra_Payments&lt;Beg_Bal),Scheduled_Extra_Payments,IF(AND(Pay_Num&lt;&gt;"",Beg_Bal-Sched_Pay&gt;0),Beg_Bal-Sched_Pay,IF(Pay_Num&lt;&gt;"",0,"")))</f>
        <v>0</v>
      </c>
      <c r="F488" s="33">
        <f>IF(AND(Pay_Num&lt;&gt;"",Sched_Pay+Extra_Pay&lt;Beg_Bal),Sched_Pay+Extra_Pay,IF(Pay_Num&lt;&gt;"",Beg_Bal,""))</f>
        <v>0</v>
      </c>
      <c r="G488" s="33">
        <f>IF(Pay_Num&lt;&gt;"",Total_Pay-Int,"")</f>
        <v>0</v>
      </c>
      <c r="H488" s="33">
        <f>IF(Pay_Num&lt;&gt;"",Beg_Bal*Interest_Rate/Num_Pmt_Per_Year,"")</f>
        <v>0</v>
      </c>
      <c r="I488" s="33">
        <f>IF(AND(Pay_Num&lt;&gt;"",Sched_Pay+Extra_Pay&lt;Beg_Bal),Beg_Bal-Princ,IF(Pay_Num&lt;&gt;"",0,""))</f>
        <v>0</v>
      </c>
      <c r="J488" s="33">
        <f>SUM($H$18:$H488)</f>
        <v>264024.10073253291</v>
      </c>
    </row>
    <row r="489" spans="1:10" x14ac:dyDescent="0.3">
      <c r="A489" s="36">
        <f>IF(Values_Entered,A488+1,"")</f>
        <v>472</v>
      </c>
      <c r="B489" s="35">
        <f>IF(Pay_Num&lt;&gt;"",DATE(YEAR(Loan_Start),MONTH(Loan_Start)+(Pay_Num)*12/Num_Pmt_Per_Year,DAY(Loan_Start)),"")</f>
        <v>59749</v>
      </c>
      <c r="C489" s="33">
        <f>IF(Pay_Num&lt;&gt;"",I488,"")</f>
        <v>0</v>
      </c>
      <c r="D489" s="33">
        <f>IF(Pay_Num&lt;&gt;"",Scheduled_Monthly_Payment,"")</f>
        <v>26333.835431927764</v>
      </c>
      <c r="E489" s="34">
        <f>IF(AND(Pay_Num&lt;&gt;"",Sched_Pay+Scheduled_Extra_Payments&lt;Beg_Bal),Scheduled_Extra_Payments,IF(AND(Pay_Num&lt;&gt;"",Beg_Bal-Sched_Pay&gt;0),Beg_Bal-Sched_Pay,IF(Pay_Num&lt;&gt;"",0,"")))</f>
        <v>0</v>
      </c>
      <c r="F489" s="33">
        <f>IF(AND(Pay_Num&lt;&gt;"",Sched_Pay+Extra_Pay&lt;Beg_Bal),Sched_Pay+Extra_Pay,IF(Pay_Num&lt;&gt;"",Beg_Bal,""))</f>
        <v>0</v>
      </c>
      <c r="G489" s="33">
        <f>IF(Pay_Num&lt;&gt;"",Total_Pay-Int,"")</f>
        <v>0</v>
      </c>
      <c r="H489" s="33">
        <f>IF(Pay_Num&lt;&gt;"",Beg_Bal*Interest_Rate/Num_Pmt_Per_Year,"")</f>
        <v>0</v>
      </c>
      <c r="I489" s="33">
        <f>IF(AND(Pay_Num&lt;&gt;"",Sched_Pay+Extra_Pay&lt;Beg_Bal),Beg_Bal-Princ,IF(Pay_Num&lt;&gt;"",0,""))</f>
        <v>0</v>
      </c>
      <c r="J489" s="33">
        <f>SUM($H$18:$H489)</f>
        <v>264024.10073253291</v>
      </c>
    </row>
    <row r="490" spans="1:10" x14ac:dyDescent="0.3">
      <c r="A490" s="36">
        <f>IF(Values_Entered,A489+1,"")</f>
        <v>473</v>
      </c>
      <c r="B490" s="35">
        <f>IF(Pay_Num&lt;&gt;"",DATE(YEAR(Loan_Start),MONTH(Loan_Start)+(Pay_Num)*12/Num_Pmt_Per_Year,DAY(Loan_Start)),"")</f>
        <v>59780</v>
      </c>
      <c r="C490" s="33">
        <f>IF(Pay_Num&lt;&gt;"",I489,"")</f>
        <v>0</v>
      </c>
      <c r="D490" s="33">
        <f>IF(Pay_Num&lt;&gt;"",Scheduled_Monthly_Payment,"")</f>
        <v>26333.835431927764</v>
      </c>
      <c r="E490" s="34">
        <f>IF(AND(Pay_Num&lt;&gt;"",Sched_Pay+Scheduled_Extra_Payments&lt;Beg_Bal),Scheduled_Extra_Payments,IF(AND(Pay_Num&lt;&gt;"",Beg_Bal-Sched_Pay&gt;0),Beg_Bal-Sched_Pay,IF(Pay_Num&lt;&gt;"",0,"")))</f>
        <v>0</v>
      </c>
      <c r="F490" s="33">
        <f>IF(AND(Pay_Num&lt;&gt;"",Sched_Pay+Extra_Pay&lt;Beg_Bal),Sched_Pay+Extra_Pay,IF(Pay_Num&lt;&gt;"",Beg_Bal,""))</f>
        <v>0</v>
      </c>
      <c r="G490" s="33">
        <f>IF(Pay_Num&lt;&gt;"",Total_Pay-Int,"")</f>
        <v>0</v>
      </c>
      <c r="H490" s="33">
        <f>IF(Pay_Num&lt;&gt;"",Beg_Bal*Interest_Rate/Num_Pmt_Per_Year,"")</f>
        <v>0</v>
      </c>
      <c r="I490" s="33">
        <f>IF(AND(Pay_Num&lt;&gt;"",Sched_Pay+Extra_Pay&lt;Beg_Bal),Beg_Bal-Princ,IF(Pay_Num&lt;&gt;"",0,""))</f>
        <v>0</v>
      </c>
      <c r="J490" s="33">
        <f>SUM($H$18:$H490)</f>
        <v>264024.10073253291</v>
      </c>
    </row>
    <row r="491" spans="1:10" x14ac:dyDescent="0.3">
      <c r="A491" s="36">
        <f>IF(Values_Entered,A490+1,"")</f>
        <v>474</v>
      </c>
      <c r="B491" s="35">
        <f>IF(Pay_Num&lt;&gt;"",DATE(YEAR(Loan_Start),MONTH(Loan_Start)+(Pay_Num)*12/Num_Pmt_Per_Year,DAY(Loan_Start)),"")</f>
        <v>59810</v>
      </c>
      <c r="C491" s="33">
        <f>IF(Pay_Num&lt;&gt;"",I490,"")</f>
        <v>0</v>
      </c>
      <c r="D491" s="33">
        <f>IF(Pay_Num&lt;&gt;"",Scheduled_Monthly_Payment,"")</f>
        <v>26333.835431927764</v>
      </c>
      <c r="E491" s="34">
        <f>IF(AND(Pay_Num&lt;&gt;"",Sched_Pay+Scheduled_Extra_Payments&lt;Beg_Bal),Scheduled_Extra_Payments,IF(AND(Pay_Num&lt;&gt;"",Beg_Bal-Sched_Pay&gt;0),Beg_Bal-Sched_Pay,IF(Pay_Num&lt;&gt;"",0,"")))</f>
        <v>0</v>
      </c>
      <c r="F491" s="33">
        <f>IF(AND(Pay_Num&lt;&gt;"",Sched_Pay+Extra_Pay&lt;Beg_Bal),Sched_Pay+Extra_Pay,IF(Pay_Num&lt;&gt;"",Beg_Bal,""))</f>
        <v>0</v>
      </c>
      <c r="G491" s="33">
        <f>IF(Pay_Num&lt;&gt;"",Total_Pay-Int,"")</f>
        <v>0</v>
      </c>
      <c r="H491" s="33">
        <f>IF(Pay_Num&lt;&gt;"",Beg_Bal*Interest_Rate/Num_Pmt_Per_Year,"")</f>
        <v>0</v>
      </c>
      <c r="I491" s="33">
        <f>IF(AND(Pay_Num&lt;&gt;"",Sched_Pay+Extra_Pay&lt;Beg_Bal),Beg_Bal-Princ,IF(Pay_Num&lt;&gt;"",0,""))</f>
        <v>0</v>
      </c>
      <c r="J491" s="33">
        <f>SUM($H$18:$H491)</f>
        <v>264024.10073253291</v>
      </c>
    </row>
    <row r="492" spans="1:10" x14ac:dyDescent="0.3">
      <c r="A492" s="36">
        <f>IF(Values_Entered,A491+1,"")</f>
        <v>475</v>
      </c>
      <c r="B492" s="35">
        <f>IF(Pay_Num&lt;&gt;"",DATE(YEAR(Loan_Start),MONTH(Loan_Start)+(Pay_Num)*12/Num_Pmt_Per_Year,DAY(Loan_Start)),"")</f>
        <v>59841</v>
      </c>
      <c r="C492" s="33">
        <f>IF(Pay_Num&lt;&gt;"",I491,"")</f>
        <v>0</v>
      </c>
      <c r="D492" s="33">
        <f>IF(Pay_Num&lt;&gt;"",Scheduled_Monthly_Payment,"")</f>
        <v>26333.835431927764</v>
      </c>
      <c r="E492" s="34">
        <f>IF(AND(Pay_Num&lt;&gt;"",Sched_Pay+Scheduled_Extra_Payments&lt;Beg_Bal),Scheduled_Extra_Payments,IF(AND(Pay_Num&lt;&gt;"",Beg_Bal-Sched_Pay&gt;0),Beg_Bal-Sched_Pay,IF(Pay_Num&lt;&gt;"",0,"")))</f>
        <v>0</v>
      </c>
      <c r="F492" s="33">
        <f>IF(AND(Pay_Num&lt;&gt;"",Sched_Pay+Extra_Pay&lt;Beg_Bal),Sched_Pay+Extra_Pay,IF(Pay_Num&lt;&gt;"",Beg_Bal,""))</f>
        <v>0</v>
      </c>
      <c r="G492" s="33">
        <f>IF(Pay_Num&lt;&gt;"",Total_Pay-Int,"")</f>
        <v>0</v>
      </c>
      <c r="H492" s="33">
        <f>IF(Pay_Num&lt;&gt;"",Beg_Bal*Interest_Rate/Num_Pmt_Per_Year,"")</f>
        <v>0</v>
      </c>
      <c r="I492" s="33">
        <f>IF(AND(Pay_Num&lt;&gt;"",Sched_Pay+Extra_Pay&lt;Beg_Bal),Beg_Bal-Princ,IF(Pay_Num&lt;&gt;"",0,""))</f>
        <v>0</v>
      </c>
      <c r="J492" s="33">
        <f>SUM($H$18:$H492)</f>
        <v>264024.10073253291</v>
      </c>
    </row>
    <row r="493" spans="1:10" x14ac:dyDescent="0.3">
      <c r="A493" s="36">
        <f>IF(Values_Entered,A492+1,"")</f>
        <v>476</v>
      </c>
      <c r="B493" s="35">
        <f>IF(Pay_Num&lt;&gt;"",DATE(YEAR(Loan_Start),MONTH(Loan_Start)+(Pay_Num)*12/Num_Pmt_Per_Year,DAY(Loan_Start)),"")</f>
        <v>59871</v>
      </c>
      <c r="C493" s="33">
        <f>IF(Pay_Num&lt;&gt;"",I492,"")</f>
        <v>0</v>
      </c>
      <c r="D493" s="33">
        <f>IF(Pay_Num&lt;&gt;"",Scheduled_Monthly_Payment,"")</f>
        <v>26333.835431927764</v>
      </c>
      <c r="E493" s="34">
        <f>IF(AND(Pay_Num&lt;&gt;"",Sched_Pay+Scheduled_Extra_Payments&lt;Beg_Bal),Scheduled_Extra_Payments,IF(AND(Pay_Num&lt;&gt;"",Beg_Bal-Sched_Pay&gt;0),Beg_Bal-Sched_Pay,IF(Pay_Num&lt;&gt;"",0,"")))</f>
        <v>0</v>
      </c>
      <c r="F493" s="33">
        <f>IF(AND(Pay_Num&lt;&gt;"",Sched_Pay+Extra_Pay&lt;Beg_Bal),Sched_Pay+Extra_Pay,IF(Pay_Num&lt;&gt;"",Beg_Bal,""))</f>
        <v>0</v>
      </c>
      <c r="G493" s="33">
        <f>IF(Pay_Num&lt;&gt;"",Total_Pay-Int,"")</f>
        <v>0</v>
      </c>
      <c r="H493" s="33">
        <f>IF(Pay_Num&lt;&gt;"",Beg_Bal*Interest_Rate/Num_Pmt_Per_Year,"")</f>
        <v>0</v>
      </c>
      <c r="I493" s="33">
        <f>IF(AND(Pay_Num&lt;&gt;"",Sched_Pay+Extra_Pay&lt;Beg_Bal),Beg_Bal-Princ,IF(Pay_Num&lt;&gt;"",0,""))</f>
        <v>0</v>
      </c>
      <c r="J493" s="33">
        <f>SUM($H$18:$H493)</f>
        <v>264024.10073253291</v>
      </c>
    </row>
    <row r="494" spans="1:10" x14ac:dyDescent="0.3">
      <c r="A494" s="36">
        <f>IF(Values_Entered,A493+1,"")</f>
        <v>477</v>
      </c>
      <c r="B494" s="35">
        <f>IF(Pay_Num&lt;&gt;"",DATE(YEAR(Loan_Start),MONTH(Loan_Start)+(Pay_Num)*12/Num_Pmt_Per_Year,DAY(Loan_Start)),"")</f>
        <v>59902</v>
      </c>
      <c r="C494" s="33">
        <f>IF(Pay_Num&lt;&gt;"",I493,"")</f>
        <v>0</v>
      </c>
      <c r="D494" s="33">
        <f>IF(Pay_Num&lt;&gt;"",Scheduled_Monthly_Payment,"")</f>
        <v>26333.835431927764</v>
      </c>
      <c r="E494" s="34">
        <f>IF(AND(Pay_Num&lt;&gt;"",Sched_Pay+Scheduled_Extra_Payments&lt;Beg_Bal),Scheduled_Extra_Payments,IF(AND(Pay_Num&lt;&gt;"",Beg_Bal-Sched_Pay&gt;0),Beg_Bal-Sched_Pay,IF(Pay_Num&lt;&gt;"",0,"")))</f>
        <v>0</v>
      </c>
      <c r="F494" s="33">
        <f>IF(AND(Pay_Num&lt;&gt;"",Sched_Pay+Extra_Pay&lt;Beg_Bal),Sched_Pay+Extra_Pay,IF(Pay_Num&lt;&gt;"",Beg_Bal,""))</f>
        <v>0</v>
      </c>
      <c r="G494" s="33">
        <f>IF(Pay_Num&lt;&gt;"",Total_Pay-Int,"")</f>
        <v>0</v>
      </c>
      <c r="H494" s="33">
        <f>IF(Pay_Num&lt;&gt;"",Beg_Bal*Interest_Rate/Num_Pmt_Per_Year,"")</f>
        <v>0</v>
      </c>
      <c r="I494" s="33">
        <f>IF(AND(Pay_Num&lt;&gt;"",Sched_Pay+Extra_Pay&lt;Beg_Bal),Beg_Bal-Princ,IF(Pay_Num&lt;&gt;"",0,""))</f>
        <v>0</v>
      </c>
      <c r="J494" s="33">
        <f>SUM($H$18:$H494)</f>
        <v>264024.10073253291</v>
      </c>
    </row>
    <row r="495" spans="1:10" x14ac:dyDescent="0.3">
      <c r="A495" s="36">
        <f>IF(Values_Entered,A494+1,"")</f>
        <v>478</v>
      </c>
      <c r="B495" s="35">
        <f>IF(Pay_Num&lt;&gt;"",DATE(YEAR(Loan_Start),MONTH(Loan_Start)+(Pay_Num)*12/Num_Pmt_Per_Year,DAY(Loan_Start)),"")</f>
        <v>59933</v>
      </c>
      <c r="C495" s="33">
        <f>IF(Pay_Num&lt;&gt;"",I494,"")</f>
        <v>0</v>
      </c>
      <c r="D495" s="33">
        <f>IF(Pay_Num&lt;&gt;"",Scheduled_Monthly_Payment,"")</f>
        <v>26333.835431927764</v>
      </c>
      <c r="E495" s="34">
        <f>IF(AND(Pay_Num&lt;&gt;"",Sched_Pay+Scheduled_Extra_Payments&lt;Beg_Bal),Scheduled_Extra_Payments,IF(AND(Pay_Num&lt;&gt;"",Beg_Bal-Sched_Pay&gt;0),Beg_Bal-Sched_Pay,IF(Pay_Num&lt;&gt;"",0,"")))</f>
        <v>0</v>
      </c>
      <c r="F495" s="33">
        <f>IF(AND(Pay_Num&lt;&gt;"",Sched_Pay+Extra_Pay&lt;Beg_Bal),Sched_Pay+Extra_Pay,IF(Pay_Num&lt;&gt;"",Beg_Bal,""))</f>
        <v>0</v>
      </c>
      <c r="G495" s="33">
        <f>IF(Pay_Num&lt;&gt;"",Total_Pay-Int,"")</f>
        <v>0</v>
      </c>
      <c r="H495" s="33">
        <f>IF(Pay_Num&lt;&gt;"",Beg_Bal*Interest_Rate/Num_Pmt_Per_Year,"")</f>
        <v>0</v>
      </c>
      <c r="I495" s="33">
        <f>IF(AND(Pay_Num&lt;&gt;"",Sched_Pay+Extra_Pay&lt;Beg_Bal),Beg_Bal-Princ,IF(Pay_Num&lt;&gt;"",0,""))</f>
        <v>0</v>
      </c>
      <c r="J495" s="33">
        <f>SUM($H$18:$H495)</f>
        <v>264024.10073253291</v>
      </c>
    </row>
    <row r="496" spans="1:10" x14ac:dyDescent="0.3">
      <c r="A496" s="36">
        <f>IF(Values_Entered,A495+1,"")</f>
        <v>479</v>
      </c>
      <c r="B496" s="35">
        <f>IF(Pay_Num&lt;&gt;"",DATE(YEAR(Loan_Start),MONTH(Loan_Start)+(Pay_Num)*12/Num_Pmt_Per_Year,DAY(Loan_Start)),"")</f>
        <v>59962</v>
      </c>
      <c r="C496" s="33">
        <f>IF(Pay_Num&lt;&gt;"",I495,"")</f>
        <v>0</v>
      </c>
      <c r="D496" s="33">
        <f>IF(Pay_Num&lt;&gt;"",Scheduled_Monthly_Payment,"")</f>
        <v>26333.835431927764</v>
      </c>
      <c r="E496" s="34">
        <f>IF(AND(Pay_Num&lt;&gt;"",Sched_Pay+Scheduled_Extra_Payments&lt;Beg_Bal),Scheduled_Extra_Payments,IF(AND(Pay_Num&lt;&gt;"",Beg_Bal-Sched_Pay&gt;0),Beg_Bal-Sched_Pay,IF(Pay_Num&lt;&gt;"",0,"")))</f>
        <v>0</v>
      </c>
      <c r="F496" s="33">
        <f>IF(AND(Pay_Num&lt;&gt;"",Sched_Pay+Extra_Pay&lt;Beg_Bal),Sched_Pay+Extra_Pay,IF(Pay_Num&lt;&gt;"",Beg_Bal,""))</f>
        <v>0</v>
      </c>
      <c r="G496" s="33">
        <f>IF(Pay_Num&lt;&gt;"",Total_Pay-Int,"")</f>
        <v>0</v>
      </c>
      <c r="H496" s="33">
        <f>IF(Pay_Num&lt;&gt;"",Beg_Bal*Interest_Rate/Num_Pmt_Per_Year,"")</f>
        <v>0</v>
      </c>
      <c r="I496" s="33">
        <f>IF(AND(Pay_Num&lt;&gt;"",Sched_Pay+Extra_Pay&lt;Beg_Bal),Beg_Bal-Princ,IF(Pay_Num&lt;&gt;"",0,""))</f>
        <v>0</v>
      </c>
      <c r="J496" s="33">
        <f>SUM($H$18:$H496)</f>
        <v>264024.10073253291</v>
      </c>
    </row>
    <row r="497" spans="1:10" x14ac:dyDescent="0.3">
      <c r="A497" s="36">
        <f>IF(Values_Entered,A496+1,"")</f>
        <v>480</v>
      </c>
      <c r="B497" s="35">
        <f>IF(Pay_Num&lt;&gt;"",DATE(YEAR(Loan_Start),MONTH(Loan_Start)+(Pay_Num)*12/Num_Pmt_Per_Year,DAY(Loan_Start)),"")</f>
        <v>59993</v>
      </c>
      <c r="C497" s="33">
        <f>IF(Pay_Num&lt;&gt;"",I496,"")</f>
        <v>0</v>
      </c>
      <c r="D497" s="33">
        <f>IF(Pay_Num&lt;&gt;"",Scheduled_Monthly_Payment,"")</f>
        <v>26333.835431927764</v>
      </c>
      <c r="E497" s="34">
        <f>IF(AND(Pay_Num&lt;&gt;"",Sched_Pay+Scheduled_Extra_Payments&lt;Beg_Bal),Scheduled_Extra_Payments,IF(AND(Pay_Num&lt;&gt;"",Beg_Bal-Sched_Pay&gt;0),Beg_Bal-Sched_Pay,IF(Pay_Num&lt;&gt;"",0,"")))</f>
        <v>0</v>
      </c>
      <c r="F497" s="33">
        <f>IF(AND(Pay_Num&lt;&gt;"",Sched_Pay+Extra_Pay&lt;Beg_Bal),Sched_Pay+Extra_Pay,IF(Pay_Num&lt;&gt;"",Beg_Bal,""))</f>
        <v>0</v>
      </c>
      <c r="G497" s="33">
        <f>IF(Pay_Num&lt;&gt;"",Total_Pay-Int,"")</f>
        <v>0</v>
      </c>
      <c r="H497" s="33">
        <f>IF(Pay_Num&lt;&gt;"",Beg_Bal*Interest_Rate/Num_Pmt_Per_Year,"")</f>
        <v>0</v>
      </c>
      <c r="I497" s="33">
        <f>IF(AND(Pay_Num&lt;&gt;"",Sched_Pay+Extra_Pay&lt;Beg_Bal),Beg_Bal-Princ,IF(Pay_Num&lt;&gt;"",0,""))</f>
        <v>0</v>
      </c>
      <c r="J497" s="33">
        <f>SUM($H$18:$H497)</f>
        <v>264024.10073253291</v>
      </c>
    </row>
  </sheetData>
  <sheetProtection sheet="1" objects="1" scenarios="1" selectLockedCells="1"/>
  <mergeCells count="3">
    <mergeCell ref="C12:D12"/>
    <mergeCell ref="B4:D4"/>
    <mergeCell ref="H4:J4"/>
  </mergeCells>
  <conditionalFormatting sqref="A18:E497">
    <cfRule type="expression" dxfId="11" priority="3" stopIfTrue="1">
      <formula>IF(ROW(A18)&lt;Last_Row,TRUE, FALSE)</formula>
    </cfRule>
  </conditionalFormatting>
  <conditionalFormatting sqref="A18:J497">
    <cfRule type="expression" dxfId="10" priority="1" stopIfTrue="1">
      <formula>IF(ROW(A18)&gt;Last_Row,TRUE, FALSE)</formula>
    </cfRule>
    <cfRule type="expression" dxfId="9" priority="2" stopIfTrue="1">
      <formula>IF(ROW(A18)=Last_Row,TRUE, FALSE)</formula>
    </cfRule>
  </conditionalFormatting>
  <conditionalFormatting sqref="F18:J497">
    <cfRule type="expression" dxfId="8" priority="4" stopIfTrue="1">
      <formula>IF(ROW(F18)&lt;=Last_Row,TRUE, FALSE)</formula>
    </cfRule>
  </conditionalFormatting>
  <dataValidations count="3">
    <dataValidation allowBlank="1" showInputMessage="1" showErrorMessage="1" promptTitle="Extra Payments" prompt="Enter an amount here if you want to make additional principal payments every pay period._x000a__x000a_For occasional extra payments, enter the extra principal amounts directly in the 'Extra Payment' column below." sqref="D10" xr:uid="{00000000-0002-0000-0000-000002000000}"/>
    <dataValidation type="date" operator="greaterThanOrEqual" allowBlank="1" showInputMessage="1" showErrorMessage="1" errorTitle="Date" error="Please enter a valid date greater than or equal to January 1, 1900." sqref="D9" xr:uid="{00000000-0002-0000-0000-000001000000}">
      <formula1>1</formula1>
    </dataValidation>
    <dataValidation type="whole" allowBlank="1" showInputMessage="1" showErrorMessage="1" errorTitle="Years" error="Please enter a whole number of years from 1 to 40." sqref="D7" xr:uid="{00000000-0002-0000-0000-000000000000}">
      <formula1>1</formula1>
      <formula2>40</formula2>
    </dataValidation>
  </dataValidations>
  <pageMargins left="0.5" right="0.5" top="0.5" bottom="0.5" header="0.5" footer="0.5"/>
  <pageSetup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67</vt:i4>
      </vt:variant>
    </vt:vector>
  </HeadingPairs>
  <TitlesOfParts>
    <vt:vector size="88" baseType="lpstr">
      <vt:lpstr>Start Here</vt:lpstr>
      <vt:lpstr>Basic Skills</vt:lpstr>
      <vt:lpstr>Math &amp; Stats</vt:lpstr>
      <vt:lpstr>Logical</vt:lpstr>
      <vt:lpstr>Text</vt:lpstr>
      <vt:lpstr>Date &amp; Time</vt:lpstr>
      <vt:lpstr>Lookup &amp; Ref</vt:lpstr>
      <vt:lpstr>Conditional Calc</vt:lpstr>
      <vt:lpstr>Loan Amortization Schedule</vt:lpstr>
      <vt:lpstr>Loan Amortization Schedule (2)</vt:lpstr>
      <vt:lpstr>Financial</vt:lpstr>
      <vt:lpstr>Loan Amortization Schedule  (3)</vt:lpstr>
      <vt:lpstr>Advanced 365</vt:lpstr>
      <vt:lpstr>Error Guide</vt:lpstr>
      <vt:lpstr>Sheet4</vt:lpstr>
      <vt:lpstr>Sheet5</vt:lpstr>
      <vt:lpstr>Sheet6</vt:lpstr>
      <vt:lpstr>Pivot Source</vt:lpstr>
      <vt:lpstr>Pivot Practice</vt:lpstr>
      <vt:lpstr>Practice Exercises</vt:lpstr>
      <vt:lpstr>Trainer Notes</vt:lpstr>
      <vt:lpstr>'Loan Amortization Schedule  (3)'!Beg_Bal</vt:lpstr>
      <vt:lpstr>'Loan Amortization Schedule (2)'!Beg_Bal</vt:lpstr>
      <vt:lpstr>Beg_Bal</vt:lpstr>
      <vt:lpstr>'Loan Amortization Schedule  (3)'!Cum_Int</vt:lpstr>
      <vt:lpstr>'Loan Amortization Schedule (2)'!Cum_Int</vt:lpstr>
      <vt:lpstr>Cum_Int</vt:lpstr>
      <vt:lpstr>'Loan Amortization Schedule  (3)'!Data</vt:lpstr>
      <vt:lpstr>'Loan Amortization Schedule (2)'!Data</vt:lpstr>
      <vt:lpstr>Data</vt:lpstr>
      <vt:lpstr>'Loan Amortization Schedule  (3)'!End_Bal</vt:lpstr>
      <vt:lpstr>'Loan Amortization Schedule (2)'!End_Bal</vt:lpstr>
      <vt:lpstr>End_Bal</vt:lpstr>
      <vt:lpstr>'Loan Amortization Schedule  (3)'!Extra_Pay</vt:lpstr>
      <vt:lpstr>'Loan Amortization Schedule (2)'!Extra_Pay</vt:lpstr>
      <vt:lpstr>Extra_Pay</vt:lpstr>
      <vt:lpstr>'Loan Amortization Schedule  (3)'!Full_Print</vt:lpstr>
      <vt:lpstr>'Loan Amortization Schedule (2)'!Full_Print</vt:lpstr>
      <vt:lpstr>Full_Print</vt:lpstr>
      <vt:lpstr>'Loan Amortization Schedule  (3)'!Int</vt:lpstr>
      <vt:lpstr>'Loan Amortization Schedule (2)'!Int</vt:lpstr>
      <vt:lpstr>Int</vt:lpstr>
      <vt:lpstr>'Loan Amortization Schedule  (3)'!Interest_Rate</vt:lpstr>
      <vt:lpstr>'Loan Amortization Schedule (2)'!Interest_Rate</vt:lpstr>
      <vt:lpstr>Interest_Rate</vt:lpstr>
      <vt:lpstr>'Loan Amortization Schedule  (3)'!Loan_Amount</vt:lpstr>
      <vt:lpstr>'Loan Amortization Schedule (2)'!Loan_Amount</vt:lpstr>
      <vt:lpstr>Loan_Amount</vt:lpstr>
      <vt:lpstr>'Loan Amortization Schedule  (3)'!Loan_Start</vt:lpstr>
      <vt:lpstr>'Loan Amortization Schedule (2)'!Loan_Start</vt:lpstr>
      <vt:lpstr>Loan_Start</vt:lpstr>
      <vt:lpstr>'Loan Amortization Schedule  (3)'!Loan_Years</vt:lpstr>
      <vt:lpstr>'Loan Amortization Schedule (2)'!Loan_Years</vt:lpstr>
      <vt:lpstr>Loan_Years</vt:lpstr>
      <vt:lpstr>'Loan Amortization Schedule  (3)'!Num_Pmt_Per_Year</vt:lpstr>
      <vt:lpstr>'Loan Amortization Schedule (2)'!Num_Pmt_Per_Year</vt:lpstr>
      <vt:lpstr>Num_Pmt_Per_Year</vt:lpstr>
      <vt:lpstr>'Loan Amortization Schedule  (3)'!Pay_Date</vt:lpstr>
      <vt:lpstr>'Loan Amortization Schedule (2)'!Pay_Date</vt:lpstr>
      <vt:lpstr>Pay_Date</vt:lpstr>
      <vt:lpstr>'Loan Amortization Schedule  (3)'!Pay_Num</vt:lpstr>
      <vt:lpstr>'Loan Amortization Schedule (2)'!Pay_Num</vt:lpstr>
      <vt:lpstr>Pay_Num</vt:lpstr>
      <vt:lpstr>PivotSourceRange</vt:lpstr>
      <vt:lpstr>'Loan Amortization Schedule  (3)'!Princ</vt:lpstr>
      <vt:lpstr>'Loan Amortization Schedule (2)'!Princ</vt:lpstr>
      <vt:lpstr>Princ</vt:lpstr>
      <vt:lpstr>'Loan Amortization Schedule'!Print_Titles</vt:lpstr>
      <vt:lpstr>'Loan Amortization Schedule  (3)'!Print_Titles</vt:lpstr>
      <vt:lpstr>'Loan Amortization Schedule (2)'!Print_Titles</vt:lpstr>
      <vt:lpstr>'Loan Amortization Schedule  (3)'!Sched_Pay</vt:lpstr>
      <vt:lpstr>'Loan Amortization Schedule (2)'!Sched_Pay</vt:lpstr>
      <vt:lpstr>Sched_Pay</vt:lpstr>
      <vt:lpstr>'Loan Amortization Schedule  (3)'!Scheduled_Extra_Payments</vt:lpstr>
      <vt:lpstr>'Loan Amortization Schedule (2)'!Scheduled_Extra_Payments</vt:lpstr>
      <vt:lpstr>Scheduled_Extra_Payments</vt:lpstr>
      <vt:lpstr>'Loan Amortization Schedule  (3)'!Scheduled_Interest_Rate</vt:lpstr>
      <vt:lpstr>'Loan Amortization Schedule (2)'!Scheduled_Interest_Rate</vt:lpstr>
      <vt:lpstr>Scheduled_Interest_Rate</vt:lpstr>
      <vt:lpstr>'Loan Amortization Schedule  (3)'!Scheduled_Monthly_Payment</vt:lpstr>
      <vt:lpstr>'Loan Amortization Schedule (2)'!Scheduled_Monthly_Payment</vt:lpstr>
      <vt:lpstr>Scheduled_Monthly_Payment</vt:lpstr>
      <vt:lpstr>'Loan Amortization Schedule  (3)'!Total_Interest</vt:lpstr>
      <vt:lpstr>'Loan Amortization Schedule (2)'!Total_Interest</vt:lpstr>
      <vt:lpstr>Total_Interest</vt:lpstr>
      <vt:lpstr>'Loan Amortization Schedule  (3)'!Total_Pay</vt:lpstr>
      <vt:lpstr>'Loan Amortization Schedule (2)'!Total_Pay</vt:lpstr>
      <vt:lpstr>Total_Pay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NCBL Standardization</cp:lastModifiedBy>
  <dcterms:created xsi:type="dcterms:W3CDTF">2026-06-11T08:29:51Z</dcterms:created>
  <dcterms:modified xsi:type="dcterms:W3CDTF">2026-06-12T06:45:05Z</dcterms:modified>
</cp:coreProperties>
</file>